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8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77" firstSheet="15" activeTab="19"/>
  </bookViews>
  <sheets>
    <sheet name="Ingresos Extrapr" sheetId="1" r:id="rId1"/>
    <sheet name="GASTOS FONDO EXTERNO" sheetId="2" r:id="rId2"/>
    <sheet name="EJECUCION CONSOLIDADA" sheetId="3" r:id="rId3"/>
    <sheet name="EST. FIN. corte 30112017" sheetId="4" r:id="rId4"/>
    <sheet name="Hoja1" sheetId="5" r:id="rId5"/>
    <sheet name="SUMAS Y SALDOS" sheetId="6" r:id="rId6"/>
    <sheet name="1101 DISPONIBILIDADES" sheetId="7" r:id="rId7"/>
    <sheet name="BIENES USO MMUJER" sheetId="8" r:id="rId8"/>
    <sheet name="bienes uso gral" sheetId="9" r:id="rId9"/>
    <sheet name="PROYECTO INVERSION" sheetId="10" r:id="rId10"/>
    <sheet name="1208 BIENES INTANGIBLES" sheetId="11" r:id="rId11"/>
    <sheet name="2101 OBLIGACIONES" sheetId="12" r:id="rId12"/>
    <sheet name="2103 CUENTAS POR PAGAR CP" sheetId="13" r:id="rId13"/>
    <sheet name="MAYOR REPONIBLE" sheetId="14" r:id="rId14"/>
    <sheet name="EJECUCION ENERO-JULIO" sheetId="15" r:id="rId15"/>
    <sheet name="EJECUCION ENERO-AGOSTO" sheetId="16" r:id="rId16"/>
    <sheet name="EJECUCION ENERO-SEPTIEMBRE" sheetId="17" r:id="rId17"/>
    <sheet name="EJECUCION ENERO-OTUBRE2018" sheetId="18" r:id="rId18"/>
    <sheet name="FR.REGULARIZADOMAYO" sheetId="19" r:id="rId19"/>
    <sheet name="FR NO REGULARIZADO" sheetId="20" r:id="rId20"/>
    <sheet name="3101 CAPITAL" sheetId="21" r:id="rId21"/>
    <sheet name=" E-DIARIO 2017" sheetId="22" r:id="rId22"/>
    <sheet name="ADQUICIONES 2017" sheetId="23" r:id="rId23"/>
    <sheet name="MAYOR KOREA" sheetId="24" r:id="rId24"/>
    <sheet name="EJECUCION ENE-JUNIO2018" sheetId="25" r:id="rId25"/>
    <sheet name="MAYOR OPERATIVA" sheetId="26" r:id="rId26"/>
  </sheets>
  <definedNames>
    <definedName name="_xlfn.SINGLE" hidden="1">#NAME?</definedName>
    <definedName name="_xlnm.Print_Area" localSheetId="21">' E-DIARIO 2017'!$A$1:$E$33</definedName>
    <definedName name="_xlnm.Print_Area" localSheetId="6">'1101 DISPONIBILIDADES'!$A$4:$C$33</definedName>
    <definedName name="_xlnm.Print_Area" localSheetId="10">'1208 BIENES INTANGIBLES'!$A$1:$E$41</definedName>
    <definedName name="_xlnm.Print_Area" localSheetId="12">'2103 CUENTAS POR PAGAR CP'!$A$1:$C$11</definedName>
    <definedName name="_xlnm.Print_Area" localSheetId="22">'ADQUICIONES 2017'!#REF!</definedName>
    <definedName name="_xlnm.Print_Area" localSheetId="7">'BIENES USO MMUJER'!$A$2:$F$51</definedName>
    <definedName name="_xlnm.Print_Area" localSheetId="2">'EJECUCION CONSOLIDADA'!$G$16:$G$75</definedName>
    <definedName name="_xlnm.Print_Area" localSheetId="24">'EJECUCION ENE-JUNIO2018'!$A$1:$J$81</definedName>
    <definedName name="_xlnm.Print_Area" localSheetId="14">'EJECUCION ENERO-JULIO'!$A$49:$H$129</definedName>
    <definedName name="_xlnm.Print_Area" localSheetId="17">'EJECUCION ENERO-OTUBRE2018'!$A$9:$J$95</definedName>
    <definedName name="_xlnm.Print_Area" localSheetId="3">'EST. FIN. corte 30112017'!$B$1:$D$58</definedName>
    <definedName name="_xlnm.Print_Area" localSheetId="19">'FR NO REGULARIZADO'!$E$369:$G$392</definedName>
    <definedName name="_xlnm.Print_Area" localSheetId="18">'FR.REGULARIZADOMAYO'!$A$11:$L$121</definedName>
    <definedName name="_xlnm.Print_Area" localSheetId="1">'GASTOS FONDO EXTERNO'!$A$8:$G$56</definedName>
    <definedName name="_xlnm.Print_Area" localSheetId="0">'Ingresos Extrapr'!$B$9:$D$37</definedName>
    <definedName name="_xlnm.Print_Area" localSheetId="13">'MAYOR REPONIBLE'!$A$76:$K$135</definedName>
    <definedName name="_xlnm.Print_Area" localSheetId="9">'PROYECTO INVERSION'!$A$7:$L$31</definedName>
    <definedName name="OLE_LINK2" localSheetId="1">'GASTOS FONDO EXTERNO'!$G$20</definedName>
    <definedName name="_xlnm.Print_Titles" localSheetId="7">'BIENES USO MMUJER'!$11:$12</definedName>
    <definedName name="_xlnm.Print_Titles" localSheetId="2">'EJECUCION CONSOLIDADA'!$1:$16</definedName>
    <definedName name="_xlnm.Print_Titles" localSheetId="5">'SUMAS Y SALDOS'!$14:$18</definedName>
  </definedNames>
  <calcPr fullCalcOnLoad="1"/>
</workbook>
</file>

<file path=xl/comments16.xml><?xml version="1.0" encoding="utf-8"?>
<comments xmlns="http://schemas.openxmlformats.org/spreadsheetml/2006/main">
  <authors>
    <author>Ivelisse Vargas</author>
  </authors>
  <commentList>
    <comment ref="H20" authorId="0">
      <text>
        <r>
          <rPr>
            <b/>
            <sz val="9"/>
            <rFont val="Tahoma"/>
            <family val="2"/>
          </rPr>
          <t>Ivelisse Vargas:</t>
        </r>
        <r>
          <rPr>
            <sz val="9"/>
            <rFont val="Tahoma"/>
            <family val="2"/>
          </rPr>
          <t xml:space="preserve">
comunicaciones
</t>
        </r>
      </text>
    </comment>
    <comment ref="H23" authorId="0">
      <text>
        <r>
          <rPr>
            <b/>
            <sz val="9"/>
            <rFont val="Tahoma"/>
            <family val="2"/>
          </rPr>
          <t>Ivelisse Vargas:</t>
        </r>
        <r>
          <rPr>
            <sz val="9"/>
            <rFont val="Tahoma"/>
            <family val="2"/>
          </rPr>
          <t xml:space="preserve">
servicios basicos</t>
        </r>
      </text>
    </comment>
    <comment ref="H26" authorId="0">
      <text>
        <r>
          <rPr>
            <b/>
            <sz val="9"/>
            <rFont val="Tahoma"/>
            <family val="2"/>
          </rPr>
          <t>Ivelisse Vargas:</t>
        </r>
        <r>
          <rPr>
            <sz val="9"/>
            <rFont val="Tahoma"/>
            <family val="2"/>
          </rPr>
          <t xml:space="preserve">
publicidad y encuadernacion
</t>
        </r>
      </text>
    </comment>
    <comment ref="H28" authorId="0">
      <text>
        <r>
          <rPr>
            <b/>
            <sz val="9"/>
            <rFont val="Tahoma"/>
            <family val="2"/>
          </rPr>
          <t>Ivelisse Vargas:</t>
        </r>
        <r>
          <rPr>
            <sz val="9"/>
            <rFont val="Tahoma"/>
            <family val="2"/>
          </rPr>
          <t xml:space="preserve">
viaticos
</t>
        </r>
      </text>
    </comment>
    <comment ref="H30" authorId="0">
      <text>
        <r>
          <rPr>
            <b/>
            <sz val="9"/>
            <rFont val="Tahoma"/>
            <family val="2"/>
          </rPr>
          <t>Ivelisse Vargas:</t>
        </r>
        <r>
          <rPr>
            <sz val="9"/>
            <rFont val="Tahoma"/>
            <family val="2"/>
          </rPr>
          <t xml:space="preserve">
transporte</t>
        </r>
      </text>
    </comment>
    <comment ref="H33" authorId="0">
      <text>
        <r>
          <rPr>
            <b/>
            <sz val="9"/>
            <rFont val="Tahoma"/>
            <family val="2"/>
          </rPr>
          <t>Ivelisse Vargas:</t>
        </r>
        <r>
          <rPr>
            <sz val="9"/>
            <rFont val="Tahoma"/>
            <family val="2"/>
          </rPr>
          <t xml:space="preserve">
alquileres</t>
        </r>
      </text>
    </comment>
    <comment ref="H37" authorId="0">
      <text>
        <r>
          <rPr>
            <b/>
            <sz val="9"/>
            <rFont val="Tahoma"/>
            <family val="2"/>
          </rPr>
          <t>Ivelisse Vargas:</t>
        </r>
        <r>
          <rPr>
            <sz val="9"/>
            <rFont val="Tahoma"/>
            <family val="2"/>
          </rPr>
          <t xml:space="preserve">
mantenimientos
</t>
        </r>
      </text>
    </comment>
    <comment ref="H51" authorId="0">
      <text>
        <r>
          <rPr>
            <b/>
            <sz val="9"/>
            <rFont val="Tahoma"/>
            <family val="2"/>
          </rPr>
          <t>Ivelisse Vargas:</t>
        </r>
        <r>
          <rPr>
            <sz val="9"/>
            <rFont val="Tahoma"/>
            <family val="2"/>
          </rPr>
          <t xml:space="preserve">
alimetos
</t>
        </r>
      </text>
    </comment>
    <comment ref="H53" authorId="0">
      <text>
        <r>
          <rPr>
            <b/>
            <sz val="9"/>
            <rFont val="Tahoma"/>
            <family val="2"/>
          </rPr>
          <t>Ivelisse Vargas:</t>
        </r>
        <r>
          <rPr>
            <sz val="9"/>
            <rFont val="Tahoma"/>
            <family val="2"/>
          </rPr>
          <t xml:space="preserve">
prenda de vestir
</t>
        </r>
      </text>
    </comment>
    <comment ref="H56" authorId="0">
      <text>
        <r>
          <rPr>
            <b/>
            <sz val="9"/>
            <rFont val="Tahoma"/>
            <family val="2"/>
          </rPr>
          <t>Ivelisse Vargas:</t>
        </r>
        <r>
          <rPr>
            <sz val="9"/>
            <rFont val="Tahoma"/>
            <family val="2"/>
          </rPr>
          <t xml:space="preserve">
productos artes graficas</t>
        </r>
      </text>
    </comment>
    <comment ref="H59" authorId="0">
      <text>
        <r>
          <rPr>
            <b/>
            <sz val="9"/>
            <rFont val="Tahoma"/>
            <family val="2"/>
          </rPr>
          <t>Ivelisse Vargas:</t>
        </r>
        <r>
          <rPr>
            <sz val="9"/>
            <rFont val="Tahoma"/>
            <family val="2"/>
          </rPr>
          <t xml:space="preserve">
productos medicinales</t>
        </r>
      </text>
    </comment>
    <comment ref="H60" authorId="0">
      <text>
        <r>
          <rPr>
            <b/>
            <sz val="9"/>
            <rFont val="Tahoma"/>
            <family val="2"/>
          </rPr>
          <t>Ivelisse Vargas:</t>
        </r>
        <r>
          <rPr>
            <sz val="9"/>
            <rFont val="Tahoma"/>
            <family val="2"/>
          </rPr>
          <t xml:space="preserve">
productos plasticos</t>
        </r>
      </text>
    </comment>
    <comment ref="H63" authorId="0">
      <text>
        <r>
          <rPr>
            <b/>
            <sz val="9"/>
            <rFont val="Tahoma"/>
            <family val="2"/>
          </rPr>
          <t>Ivelisse Vargas:</t>
        </r>
        <r>
          <rPr>
            <sz val="9"/>
            <rFont val="Tahoma"/>
            <family val="2"/>
          </rPr>
          <t xml:space="preserve">
productos metalicos
</t>
        </r>
      </text>
    </comment>
    <comment ref="H65" authorId="0">
      <text>
        <r>
          <rPr>
            <b/>
            <sz val="9"/>
            <rFont val="Tahoma"/>
            <family val="2"/>
          </rPr>
          <t>Ivelisse Vargas:</t>
        </r>
        <r>
          <rPr>
            <sz val="9"/>
            <rFont val="Tahoma"/>
            <family val="2"/>
          </rPr>
          <t xml:space="preserve">
combustibles
</t>
        </r>
      </text>
    </comment>
  </commentList>
</comments>
</file>

<file path=xl/comments20.xml><?xml version="1.0" encoding="utf-8"?>
<comments xmlns="http://schemas.openxmlformats.org/spreadsheetml/2006/main">
  <authors>
    <author>Ivelisse Vargas</author>
  </authors>
  <commentList>
    <comment ref="M192" authorId="0">
      <text>
        <r>
          <rPr>
            <b/>
            <sz val="9"/>
            <rFont val="Tahoma"/>
            <family val="2"/>
          </rPr>
          <t>Ivelisse Vargas:</t>
        </r>
        <r>
          <rPr>
            <sz val="9"/>
            <rFont val="Tahoma"/>
            <family val="2"/>
          </rPr>
          <t xml:space="preserve">
FLETES
</t>
        </r>
      </text>
    </comment>
  </commentList>
</comments>
</file>

<file path=xl/comments3.xml><?xml version="1.0" encoding="utf-8"?>
<comments xmlns="http://schemas.openxmlformats.org/spreadsheetml/2006/main">
  <authors>
    <author>Ivelisse Vargas</author>
  </authors>
  <commentList>
    <comment ref="E45" authorId="0">
      <text>
        <r>
          <rPr>
            <b/>
            <sz val="9"/>
            <rFont val="Tahoma"/>
            <family val="2"/>
          </rPr>
          <t>Ivelisse Vargas:</t>
        </r>
        <r>
          <rPr>
            <sz val="9"/>
            <rFont val="Tahoma"/>
            <family val="2"/>
          </rPr>
          <t xml:space="preserve">
KOREA-AECI</t>
        </r>
      </text>
    </comment>
  </commentList>
</comments>
</file>

<file path=xl/comments6.xml><?xml version="1.0" encoding="utf-8"?>
<comments xmlns="http://schemas.openxmlformats.org/spreadsheetml/2006/main">
  <authors>
    <author>Ivelisse Vargas</author>
  </authors>
  <commentList>
    <comment ref="F53" authorId="0">
      <text>
        <r>
          <rPr>
            <b/>
            <sz val="9"/>
            <rFont val="Tahoma"/>
            <family val="2"/>
          </rPr>
          <t>Ivelisse Vargas:</t>
        </r>
        <r>
          <rPr>
            <sz val="9"/>
            <rFont val="Tahoma"/>
            <family val="2"/>
          </rPr>
          <t xml:space="preserve">
Bce inical ajiste de patrimonio de la disponibilidades</t>
        </r>
      </text>
    </comment>
    <comment ref="F54" authorId="0">
      <text>
        <r>
          <rPr>
            <b/>
            <sz val="9"/>
            <rFont val="Tahoma"/>
            <family val="2"/>
          </rPr>
          <t>Ivelisse Vargas:</t>
        </r>
        <r>
          <rPr>
            <sz val="9"/>
            <rFont val="Tahoma"/>
            <family val="2"/>
          </rPr>
          <t xml:space="preserve">
Bce corresponde al credito de las disponibilidades cta institucional ano2015
</t>
        </r>
      </text>
    </comment>
    <comment ref="F55" authorId="0">
      <text>
        <r>
          <rPr>
            <b/>
            <sz val="9"/>
            <rFont val="Tahoma"/>
            <family val="2"/>
          </rPr>
          <t>Ivelisse Vargas:</t>
        </r>
        <r>
          <rPr>
            <sz val="9"/>
            <rFont val="Tahoma"/>
            <family val="2"/>
          </rPr>
          <t xml:space="preserve">
Bce corresponde a un a asiento de ajuste mal aplicado
</t>
        </r>
      </text>
    </comment>
    <comment ref="F57" authorId="0">
      <text>
        <r>
          <rPr>
            <b/>
            <sz val="9"/>
            <rFont val="Tahoma"/>
            <family val="2"/>
          </rPr>
          <t>Ivelisse Vargas:</t>
        </r>
        <r>
          <rPr>
            <sz val="9"/>
            <rFont val="Tahoma"/>
            <family val="2"/>
          </rPr>
          <t xml:space="preserve">
Bce corresponde al balance incial de la cuenta ajuste al patrimonio por disponibilidades bancarias
</t>
        </r>
      </text>
    </comment>
    <comment ref="I54" authorId="0">
      <text>
        <r>
          <rPr>
            <b/>
            <sz val="9"/>
            <rFont val="Tahoma"/>
            <family val="2"/>
          </rPr>
          <t>Ivelisse Vargas:</t>
        </r>
        <r>
          <rPr>
            <sz val="9"/>
            <rFont val="Tahoma"/>
            <family val="2"/>
          </rPr>
          <t xml:space="preserve">
Corresponde al Ahorro del Periodo 2015
</t>
        </r>
      </text>
    </comment>
    <comment ref="I55" authorId="0">
      <text>
        <r>
          <rPr>
            <b/>
            <sz val="9"/>
            <rFont val="Tahoma"/>
            <family val="2"/>
          </rPr>
          <t>Ivelisse Vargas:</t>
        </r>
        <r>
          <rPr>
            <sz val="9"/>
            <rFont val="Tahoma"/>
            <family val="2"/>
          </rPr>
          <t xml:space="preserve">
Corresponde al ajuste de la depreciacion de los activos año2014</t>
        </r>
      </text>
    </comment>
  </commentList>
</comments>
</file>

<file path=xl/sharedStrings.xml><?xml version="1.0" encoding="utf-8"?>
<sst xmlns="http://schemas.openxmlformats.org/spreadsheetml/2006/main" count="3604" uniqueCount="1013">
  <si>
    <t>TOTALES</t>
  </si>
  <si>
    <t>Sistema Integrado de Gestión Financiera</t>
  </si>
  <si>
    <t>(VALORES EN RD$)</t>
  </si>
  <si>
    <t>ACTIVOS</t>
  </si>
  <si>
    <t>ACTIVOS CORRIENTES</t>
  </si>
  <si>
    <t>TOTAL ACTIVOS CORRIENTES</t>
  </si>
  <si>
    <t>TOTAL ACTIVOS</t>
  </si>
  <si>
    <t>PASIVOS</t>
  </si>
  <si>
    <t>PASIVOS CORRIENTES</t>
  </si>
  <si>
    <t>PATRIMONIO</t>
  </si>
  <si>
    <t>TOTAL PASIVOS Y PATRIMONIO</t>
  </si>
  <si>
    <t>GASTOS CORRIENTES</t>
  </si>
  <si>
    <t>SUELDOS FIJOS</t>
  </si>
  <si>
    <t>COMPENSACIONES DIRECTAS AL PERSONAL</t>
  </si>
  <si>
    <t>CONTRIBUCIONES AL SEGURO DE RIESGO LABORAL</t>
  </si>
  <si>
    <t>VIATICOS DENTRO Y FUERA DEL PAIS</t>
  </si>
  <si>
    <t>TRANSPORTE Y ALMACENAJE</t>
  </si>
  <si>
    <t>SEGUROS</t>
  </si>
  <si>
    <t>TEXTILES Y VESTUARIOS</t>
  </si>
  <si>
    <t>COMBUSTIBLES, LUBRICANTES, PRODUCTOS QUIMICOS Y CONEXOS</t>
  </si>
  <si>
    <t>PRODUCTOS DE CUERO, CAUCHO Y PLASTICO</t>
  </si>
  <si>
    <t>PRODUCTOS  DE MINERALES  METALICOS Y NO METALICOS</t>
  </si>
  <si>
    <t>SERVICIOS TECNICOS Y PROFESIONALES</t>
  </si>
  <si>
    <t>11010300010001</t>
  </si>
  <si>
    <t>11010300010002</t>
  </si>
  <si>
    <t>1206010002</t>
  </si>
  <si>
    <t>1206010004</t>
  </si>
  <si>
    <t>EQUIPOS DE COMPUTACION</t>
  </si>
  <si>
    <t>1206010006</t>
  </si>
  <si>
    <t>EQUIPO DE COMUNICACION Y SEÑALAMIENTO</t>
  </si>
  <si>
    <t>1206010007</t>
  </si>
  <si>
    <t>EQUIPOS Y MUEBLES PARA OFICINA</t>
  </si>
  <si>
    <t>12060100090001</t>
  </si>
  <si>
    <t>COMPRAS MAQUINARIAS Y EQUIPOS EN TRANSITO</t>
  </si>
  <si>
    <t>1206010998</t>
  </si>
  <si>
    <t>EQUIPOS Y MOBILIARIOS DE ALOJAMIENTO</t>
  </si>
  <si>
    <t>1206990999</t>
  </si>
  <si>
    <t>DEPRECIACION DE BIENES EN USO</t>
  </si>
  <si>
    <t>1206010001</t>
  </si>
  <si>
    <t>MAQUINARIA Y EQUIPO DE PRODUCCION</t>
  </si>
  <si>
    <t>CUENTA</t>
  </si>
  <si>
    <t>DESCRIPCION</t>
  </si>
  <si>
    <t>2008</t>
  </si>
  <si>
    <t>FINAL</t>
  </si>
  <si>
    <t>ACTIVOS NO CORRIENTES</t>
  </si>
  <si>
    <t>PATRIMONIO PUBLICO DOMINICANO</t>
  </si>
  <si>
    <t>PRESUPUESTO EJECUTADO</t>
  </si>
  <si>
    <t>DIFERENCIA POR GASTOS DE DEPRECIACION</t>
  </si>
  <si>
    <t>CAPITAL FISCAL</t>
  </si>
  <si>
    <t xml:space="preserve">SERVICIOS PERSONALES </t>
  </si>
  <si>
    <t xml:space="preserve">SERVICIOS NO PERSONALES </t>
  </si>
  <si>
    <t xml:space="preserve">MATERIALES Y SUMINISTROS </t>
  </si>
  <si>
    <t>MOVIMIENTOS 0215-01-01-0001</t>
  </si>
  <si>
    <t>11010300010004</t>
  </si>
  <si>
    <t>11010300010019</t>
  </si>
  <si>
    <t>1206010003</t>
  </si>
  <si>
    <t>EQUIPO DE TRANSPORTE, TRACCION Y ELEVACION</t>
  </si>
  <si>
    <t>1206010005</t>
  </si>
  <si>
    <t>EQUIPOS MEDICOS, SANITARIOS Y VETERINARIOS</t>
  </si>
  <si>
    <t>1206010008</t>
  </si>
  <si>
    <t>HERRAMIENTAS Y REPUESTOS MAYORES</t>
  </si>
  <si>
    <t>1206010999</t>
  </si>
  <si>
    <t>ACTIVOS POR CLASIFICAR PROV. DE TRANSF. DE CAP. DE LA ADM. CENTRAL</t>
  </si>
  <si>
    <t>1206030101</t>
  </si>
  <si>
    <t>PROYECTOS DE INVERSION POR CUENTA PROPIA</t>
  </si>
  <si>
    <t>1206980004</t>
  </si>
  <si>
    <t>OBRAS DE ARTE Y ELEMENTOS COLECCIONABLES</t>
  </si>
  <si>
    <t>2101020097</t>
  </si>
  <si>
    <t>OBLIGACIONES DE PAGO POR SOBREGIRO BANCARIO INSTITUCIONALES</t>
  </si>
  <si>
    <t>2103020001</t>
  </si>
  <si>
    <t>PROVEEDORES DIRECTOS INTERNOS A PAGAR A CORTO PLAZO</t>
  </si>
  <si>
    <t>2103020005</t>
  </si>
  <si>
    <t>PROVEEDORES POR PROYECTO DE INVERSION INTERNO MAQUIN. Y EQU. A PAGAR A CORTO PLAZO</t>
  </si>
  <si>
    <t>2103110002</t>
  </si>
  <si>
    <t>TRANSFERENCIAS AL SECTOR PRIVADO A PAGAR</t>
  </si>
  <si>
    <t>3101010001</t>
  </si>
  <si>
    <t>3101010005</t>
  </si>
  <si>
    <t>3102020002</t>
  </si>
  <si>
    <t>DONACIONES DE CAPITAL DE ORGANISMOS INTERNACIONALES</t>
  </si>
  <si>
    <t>DONACIONES DE CAPITAL</t>
  </si>
  <si>
    <t>AJUSTES AL PATRIMONIO</t>
  </si>
  <si>
    <t>OBLIGACIONES AUTORIZADAS PARA PAGOS</t>
  </si>
  <si>
    <t>Debito</t>
  </si>
  <si>
    <t>Credito</t>
  </si>
  <si>
    <t>EQUIPO EDUCACIONAL, CIENTIFICOS  Y   RECREATIVOS</t>
  </si>
  <si>
    <t>AJUSTE AL PATRIMONIO INICIAL POR DISPONIBILIDADES BANCARIAS</t>
  </si>
  <si>
    <t>AJUSTE AL PATRIMONIO INICIAL POR INCORPORACION DE ACTIVOS FIJOS</t>
  </si>
  <si>
    <t>EQUIPOS Y MUEBLES DE OFICINA</t>
  </si>
  <si>
    <t>OTROS SERVICIOS NO PERSONALES</t>
  </si>
  <si>
    <t>EQUIPOS VARIOS</t>
  </si>
  <si>
    <t>TRANSFERENCIAS Y DONACIONES</t>
  </si>
  <si>
    <t xml:space="preserve">CAPITAL FISCAL </t>
  </si>
  <si>
    <t xml:space="preserve">ALQUILERES </t>
  </si>
  <si>
    <t xml:space="preserve">CONSERVACION, REPARACIONES MENORES Y CONSTRUCCIONES TEMPORALES </t>
  </si>
  <si>
    <t xml:space="preserve">PRODUCTOS Y UTILES VARIOS </t>
  </si>
  <si>
    <t xml:space="preserve">CONTRIBUCIONES AL SEGURO DE SALUD </t>
  </si>
  <si>
    <t xml:space="preserve">SERVICIOS DE COMUNICACIONES </t>
  </si>
  <si>
    <t xml:space="preserve">SERVICIOS BASICOS </t>
  </si>
  <si>
    <t xml:space="preserve">PUBLICIDAD, IMPRESIONES Y ENCUADERNACIONES </t>
  </si>
  <si>
    <t xml:space="preserve">DEPRECIACION </t>
  </si>
  <si>
    <t xml:space="preserve">ALIMENTOS Y PRODUCTOS AGROFORESTALES </t>
  </si>
  <si>
    <t xml:space="preserve">PRODUCTOS DE PAPEL, CARTON E IMPRESOS </t>
  </si>
  <si>
    <t xml:space="preserve">TOTAL GASTOS CORRIENTES </t>
  </si>
  <si>
    <t xml:space="preserve">ADQUISICION DE ACTIVOS NO FINANCIEROS </t>
  </si>
  <si>
    <t>DISPONIBILIDADES</t>
  </si>
  <si>
    <t>BIENES INTANGIBLES</t>
  </si>
  <si>
    <t>+</t>
  </si>
  <si>
    <t>AJUSTE AL PATRIMONIO INCIAL POR DISPONIBILIDADES BANCARIAS</t>
  </si>
  <si>
    <t>AJUSTE AL PATRIMONIO INCIAL POR INCORPORACION DE ACTIVOS FIJOS</t>
  </si>
  <si>
    <t>ACTIVOS NO FINANCIEROS</t>
  </si>
  <si>
    <t>Ingresos Extrapresupuestarios</t>
  </si>
  <si>
    <t>ORGANISMO</t>
  </si>
  <si>
    <t>FECHA</t>
  </si>
  <si>
    <t>VALOR RECIBIDO</t>
  </si>
  <si>
    <t xml:space="preserve">TRANSFERENCIAS AL SECTOR PRIVADO </t>
  </si>
  <si>
    <t>Ministerio de la Mujer</t>
  </si>
  <si>
    <t>FECHA  ADQ</t>
  </si>
  <si>
    <t>SUPLIDOR</t>
  </si>
  <si>
    <t>CANT.</t>
  </si>
  <si>
    <t>UBICACION</t>
  </si>
  <si>
    <t>TOTAL</t>
  </si>
  <si>
    <t xml:space="preserve">TOTAL GASTOS </t>
  </si>
  <si>
    <t>TOTAL INGRESOS</t>
  </si>
  <si>
    <t>TEXTILES Y VESTUARIO</t>
  </si>
  <si>
    <t xml:space="preserve">TRANSFERENCIAS AL SECTOR PUBLICO </t>
  </si>
  <si>
    <t>COPRESIDA</t>
  </si>
  <si>
    <t>EJECUCION DE FONDOS EXTRAPRESUPUESTARIOS</t>
  </si>
  <si>
    <t>SERVICIOS PERSONALES</t>
  </si>
  <si>
    <t>COMPENSACIONES DIRECTAS PERSONAL</t>
  </si>
  <si>
    <t xml:space="preserve">DIETAS Y GASTOS REPRESENTACION </t>
  </si>
  <si>
    <t>EQUIPOS EDUCATIVOS</t>
  </si>
  <si>
    <t>MAS:</t>
  </si>
  <si>
    <t>SUELDOS PERSONAL CONTRATADOS O IGUALADOS</t>
  </si>
  <si>
    <t>COMPENSACIONES SERVICIOS DE SRGURIDAD</t>
  </si>
  <si>
    <t>CONTRIBUCIONES AL SEGUROS DE PENSIONES</t>
  </si>
  <si>
    <t>Periodo: 2015</t>
  </si>
  <si>
    <t>OTROS SERVICIOS NO INCLUIDOS EN CONCEPTOS ANTERIORES</t>
  </si>
  <si>
    <t>ORGANIZACIÓN DE EVENTOS Y FESTIVIDADES</t>
  </si>
  <si>
    <t>PRODUCTOS FARMACEUTICOS</t>
  </si>
  <si>
    <t>TRANSFERENCIAS Y DONACIONES CORRIENTES</t>
  </si>
  <si>
    <t>Fondos Provenientes de Donaciones Directa</t>
  </si>
  <si>
    <t>Fondos  Anticipos Financieros</t>
  </si>
  <si>
    <t>Cuenta Operativa Recursos Directos</t>
  </si>
  <si>
    <t>BIENES DE USO</t>
  </si>
  <si>
    <t>BALANCE</t>
  </si>
  <si>
    <t>1206030005</t>
  </si>
  <si>
    <t>EDIFICACIONES</t>
  </si>
  <si>
    <t>PROGRAMAS COMPUTACIONALES</t>
  </si>
  <si>
    <t>FONDO PATRIMONIAL DE LAS EMPRESAS REFORMADAS</t>
  </si>
  <si>
    <t>FONDO DE POBLACION UNFPA</t>
  </si>
  <si>
    <t>PROGRAMA NACIONES UNIDAS PARA EL DESARROLLO(PNUD)</t>
  </si>
  <si>
    <t>COSTO UNITARIO</t>
  </si>
  <si>
    <t>COSTO ADQUISICION</t>
  </si>
  <si>
    <t>OFICINA UNIVERSAL</t>
  </si>
  <si>
    <t>MINISTERIO DE LA MUJER</t>
  </si>
  <si>
    <t xml:space="preserve">AUTOMÓVILES Y CAMIONES </t>
  </si>
  <si>
    <t>TOTAL:  VEHICULOS Y EQUIPOS TRANSPORTE ,TRACCION</t>
  </si>
  <si>
    <t>TOTAL :   EQUIPOS DE COMPUTACION</t>
  </si>
  <si>
    <t>FONDO PATRIMONIAL DE LAS EEMPRESAS REFORMADAS</t>
  </si>
  <si>
    <t>FONDO POBLACIONAL ( UNFPA)</t>
  </si>
  <si>
    <t>KOREA ( SALUD ,MUJER, JUVENTUD)</t>
  </si>
  <si>
    <t>COPRESIDA 2DA ETAPA</t>
  </si>
  <si>
    <t>INGRESOS</t>
  </si>
  <si>
    <t>DEPOSITO RI-2334 , CK.1520</t>
  </si>
  <si>
    <t>DEPOSITO RI-2335 ,CK.1518</t>
  </si>
  <si>
    <t>17/07/2015</t>
  </si>
  <si>
    <t>21/07/2015</t>
  </si>
  <si>
    <t>DEPOSITO RI-2341 , CK.1521</t>
  </si>
  <si>
    <t>DEPOSITO RI-2343 , CK.1524</t>
  </si>
  <si>
    <t>DEPOSITO RI-2344 , CK.1526</t>
  </si>
  <si>
    <t>DEPOSITO RI-2345 , CK.1527</t>
  </si>
  <si>
    <t>DEPOSITO RI-2351 , CK.1529</t>
  </si>
  <si>
    <t>REINTEGRO CK.1510</t>
  </si>
  <si>
    <t>DEPOSITO RI-2327 SOBRANTE CK.# 126</t>
  </si>
  <si>
    <t>DEPOSITO RI-2326 SOBRANTE CK.#156</t>
  </si>
  <si>
    <t>DEPOSITO RI2325 SOBRANTE CK.#124</t>
  </si>
  <si>
    <t>DEPOSITO ( DEUDA-KOREA) RI-2323</t>
  </si>
  <si>
    <t>CONTRAPARTIDA MINISTERO DE LA MUJER RI-2336</t>
  </si>
  <si>
    <t>CONTRAPARTIDA MINISTERO DE LA MUJER RI-2338</t>
  </si>
  <si>
    <t>SOBRANTE DE CKS, CONTRAPARTIDA MEN</t>
  </si>
  <si>
    <t>APROPIACION VIGENTE</t>
  </si>
  <si>
    <t>MENOS:</t>
  </si>
  <si>
    <t>PRESUPUESTO NO EJECUTADO</t>
  </si>
  <si>
    <t>ELECTRODOMESTICOS</t>
  </si>
  <si>
    <t>OTROS MOBILIARIOS Y EQUIPOS NO IDENTIFICADOS</t>
  </si>
  <si>
    <t>CONSEJO CASAS ACOGIDA BALANCE INICIAL</t>
  </si>
  <si>
    <t>TOTAL MINISTERIO DE LA MUJER</t>
  </si>
  <si>
    <t>TOTAL CONSEJO CASAS DE ACOGIDA</t>
  </si>
  <si>
    <t>CONSOLIDADO</t>
  </si>
  <si>
    <t>DISPONIBILIDADES DEL 01/01/2015</t>
  </si>
  <si>
    <t>-</t>
  </si>
  <si>
    <t>FUENTE</t>
  </si>
  <si>
    <t>FONDO 100</t>
  </si>
  <si>
    <t>CONTRAPARTIDAS-COPRESIDA</t>
  </si>
  <si>
    <t>CONTRA-PARTIDAS-KOREA</t>
  </si>
  <si>
    <t>TOTAL CONTRAPARTIDAS FONDO KOREA</t>
  </si>
  <si>
    <t>TOTAL CONTRAPARTIDA -COPRESIDA</t>
  </si>
  <si>
    <t>INGRESOS FONDO 100</t>
  </si>
  <si>
    <t>ADQUISICION BIENES INTANGIBLES</t>
  </si>
  <si>
    <t xml:space="preserve">BIENES EN USO </t>
  </si>
  <si>
    <t>DEPRECIACION ACUMULADA</t>
  </si>
  <si>
    <t>TOTAL ACTIVOS NO CORRIENTES (NETO)</t>
  </si>
  <si>
    <t>Caja Chica</t>
  </si>
  <si>
    <t>RESUMEN DE SUMAS Y SALDOS</t>
  </si>
  <si>
    <t>Nota:</t>
  </si>
  <si>
    <t xml:space="preserve">Ajuste del Patrimonio Incial </t>
  </si>
  <si>
    <t>de Disponibilidades</t>
  </si>
  <si>
    <t>Ajuste al Patrimonio Inicial</t>
  </si>
  <si>
    <t>por incorporacion de Activos Fijos</t>
  </si>
  <si>
    <t>TRANSFERENCIAS AL SECTOR PUBLICO A PAGAR</t>
  </si>
  <si>
    <t>2103110001</t>
  </si>
  <si>
    <t>ASIENTO DIARIO</t>
  </si>
  <si>
    <t>Auxial</t>
  </si>
  <si>
    <t>ASIENTOS DE AJUSTE , RECLASIFICACION Y REGULARIZACION</t>
  </si>
  <si>
    <t>RESULTADO DEL PERIODO 2015</t>
  </si>
  <si>
    <t>3103010001</t>
  </si>
  <si>
    <t>TRANSFERENCIA AL SECTOR PUBLICO POR PAGAR</t>
  </si>
  <si>
    <t>PREPARADO POR:</t>
  </si>
  <si>
    <t>LIC. IVELISSE VARGAS S,</t>
  </si>
  <si>
    <t>LIC. IVELISSE VARGAS SANTANA</t>
  </si>
  <si>
    <t>CONTADORA</t>
  </si>
  <si>
    <t>Periodo: 2016</t>
  </si>
  <si>
    <t>TRANSFERENCIAS  AL SECTOR PRIVADO (ASFL)</t>
  </si>
  <si>
    <t>TRANSFERENCIAS AL SECTOR PRIVADO ( ORGANISMOS INTENACIONALES)</t>
  </si>
  <si>
    <t>RESULTADO DEL EJERCICIO AHORRO DE LA GESTION ANTERIORES</t>
  </si>
  <si>
    <t>Periodo: 2017</t>
  </si>
  <si>
    <t>SANTO DOMINGO MOTORS</t>
  </si>
  <si>
    <t>MOTOCICLETA YAMAHA, MOD. CRUX YD110CC,CHASIS 1RE2317G2007956, COLOR NEGRO , AÑO 2016</t>
  </si>
  <si>
    <t>MENSAJERIA EXTERNA ,DEPARTAMENTO ARCHIVO Y CORRESPONDENCIA</t>
  </si>
  <si>
    <t xml:space="preserve"> DEPARTAMENTOS,VICE, LINEA EMERGENCIA, DEPTO PLANIFIC. COMUNICACIONES</t>
  </si>
  <si>
    <t xml:space="preserve"> PC DELL OPTIPLEX 7040MNT,  6TH 15 3.20GHZ , 4GB, 500GB, DVDR W1O PRO, MONITOR DELL LCD 18.5" ,E1916H</t>
  </si>
  <si>
    <t>ANTICIPO</t>
  </si>
  <si>
    <t>FINANCIEROS REPONIBLE</t>
  </si>
  <si>
    <t>EVENTUAL</t>
  </si>
  <si>
    <t>TRANSFERENCIAS AL SECTOR PUBLICO(CASAS ACOGIDAS)</t>
  </si>
  <si>
    <t>OTRAS TRANSFERENCIAS</t>
  </si>
  <si>
    <t>ADDICIONES 2017        CASAS DE ACOGIDA</t>
  </si>
  <si>
    <t>09/03/2017</t>
  </si>
  <si>
    <t>2774</t>
  </si>
  <si>
    <t>231</t>
  </si>
  <si>
    <t xml:space="preserve">VIÁTICOS DENTRO DEL PAÍS </t>
  </si>
  <si>
    <t>Consolidado</t>
  </si>
  <si>
    <t>2775</t>
  </si>
  <si>
    <t>2776</t>
  </si>
  <si>
    <t>2777</t>
  </si>
  <si>
    <t>2778</t>
  </si>
  <si>
    <t>21/03/2017</t>
  </si>
  <si>
    <t>2779</t>
  </si>
  <si>
    <t>28/03/2017</t>
  </si>
  <si>
    <t>2782</t>
  </si>
  <si>
    <t>2783</t>
  </si>
  <si>
    <t>2784</t>
  </si>
  <si>
    <t>2785</t>
  </si>
  <si>
    <t>06/04/2017</t>
  </si>
  <si>
    <t>2788</t>
  </si>
  <si>
    <t>2789</t>
  </si>
  <si>
    <t>2790</t>
  </si>
  <si>
    <t>2791</t>
  </si>
  <si>
    <t>244</t>
  </si>
  <si>
    <t xml:space="preserve">PEAJE </t>
  </si>
  <si>
    <t>2780</t>
  </si>
  <si>
    <t>313-03</t>
  </si>
  <si>
    <t xml:space="preserve">PRODUCTOS FORESTALES </t>
  </si>
  <si>
    <t>311-01</t>
  </si>
  <si>
    <t xml:space="preserve">ALIMENTOS Y BEBIDAS PARA PERSONAS </t>
  </si>
  <si>
    <t>04/04/2017</t>
  </si>
  <si>
    <t>2787</t>
  </si>
  <si>
    <t>332</t>
  </si>
  <si>
    <t xml:space="preserve">PRODUCTOS DE PAPEL Y CARTÓN </t>
  </si>
  <si>
    <t>341</t>
  </si>
  <si>
    <t xml:space="preserve">PRODUCTOS MEDICINALES PARA USO HUMANO </t>
  </si>
  <si>
    <t>2781</t>
  </si>
  <si>
    <t>355</t>
  </si>
  <si>
    <t xml:space="preserve">ARTÍCULOS DE PLÁSTICO </t>
  </si>
  <si>
    <t>363-03</t>
  </si>
  <si>
    <t xml:space="preserve">ESTRUCTURAS METÁLICAS ACABADAS </t>
  </si>
  <si>
    <t>371-06</t>
  </si>
  <si>
    <t xml:space="preserve">LUBRICANTES </t>
  </si>
  <si>
    <t>399</t>
  </si>
  <si>
    <t xml:space="preserve">PRODUCTOS Y ÚTILES VARIOS NO IDENTIFICADOS PRECEDENTEMENTE (N.I.P.) </t>
  </si>
  <si>
    <t>396</t>
  </si>
  <si>
    <t xml:space="preserve">PRODUCTOS ELÉCTRICOS Y AFINES </t>
  </si>
  <si>
    <t>391</t>
  </si>
  <si>
    <t xml:space="preserve">MATERIAL PARA LIMPIEZA </t>
  </si>
  <si>
    <t>398</t>
  </si>
  <si>
    <t xml:space="preserve">OTROS REPUESTOS Y ACCESORIOS MENORES </t>
  </si>
  <si>
    <t>392</t>
  </si>
  <si>
    <t xml:space="preserve">ÚTILES DE ESCRITORIO, OFICINA, INFORMÁTICA Y DE ENSEÑANZA </t>
  </si>
  <si>
    <t>total</t>
  </si>
  <si>
    <t>25/01/2017</t>
  </si>
  <si>
    <t>1552</t>
  </si>
  <si>
    <t>1553</t>
  </si>
  <si>
    <t>1554</t>
  </si>
  <si>
    <t>Reintegro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</si>
  <si>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</si>
  <si>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</si>
  <si>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</si>
  <si>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</si>
  <si>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</si>
  <si>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</si>
  <si>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</si>
  <si>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</si>
  <si>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</si>
  <si>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1200</t>
  </si>
  <si>
    <t>1565</t>
  </si>
  <si>
    <t>1566</t>
  </si>
  <si>
    <t>21/02/2017</t>
  </si>
  <si>
    <t>1569</t>
  </si>
  <si>
    <t>1570</t>
  </si>
  <si>
    <t>1571</t>
  </si>
  <si>
    <t>15/02/2017</t>
  </si>
  <si>
    <t>1568</t>
  </si>
  <si>
    <t>288-01</t>
  </si>
  <si>
    <t xml:space="preserve">IMPUESTOS </t>
  </si>
  <si>
    <t>21/04/2017</t>
  </si>
  <si>
    <t>1573</t>
  </si>
  <si>
    <t>Nulo</t>
  </si>
  <si>
    <t>14/02/2017</t>
  </si>
  <si>
    <t>1567</t>
  </si>
  <si>
    <t>371-02</t>
  </si>
  <si>
    <t xml:space="preserve">GASOIL </t>
  </si>
  <si>
    <t>07/04/2017</t>
  </si>
  <si>
    <t>1572</t>
  </si>
  <si>
    <t>DONACIONES</t>
  </si>
  <si>
    <t>ORG.INTERNACIALES</t>
  </si>
  <si>
    <t>23/01/2017</t>
  </si>
  <si>
    <t>206</t>
  </si>
  <si>
    <t>207</t>
  </si>
  <si>
    <t>208</t>
  </si>
  <si>
    <t>209</t>
  </si>
  <si>
    <t>03/02/2017</t>
  </si>
  <si>
    <t>210</t>
  </si>
  <si>
    <t>241</t>
  </si>
  <si>
    <t>PASAJES</t>
  </si>
  <si>
    <t>16/02/2017</t>
  </si>
  <si>
    <t>211</t>
  </si>
  <si>
    <t>412-02</t>
  </si>
  <si>
    <t xml:space="preserve">AYUDAS Y DONACIONES OCASIONALES A HOGARES Y PERSONAS </t>
  </si>
  <si>
    <t>RECURSOS DIRECTOS</t>
  </si>
  <si>
    <t>2772</t>
  </si>
  <si>
    <t>215</t>
  </si>
  <si>
    <t xml:space="preserve">SERVICIO DE INTERNET Y TELEVISIÓN POR CABLE </t>
  </si>
  <si>
    <t>10/04/2017</t>
  </si>
  <si>
    <t>2795</t>
  </si>
  <si>
    <t>10/01/2017</t>
  </si>
  <si>
    <t>2768</t>
  </si>
  <si>
    <t>222</t>
  </si>
  <si>
    <t xml:space="preserve">IMPRESIÓN Y ENCUADERNACIÓN </t>
  </si>
  <si>
    <t>17/01/2017</t>
  </si>
  <si>
    <t>2769</t>
  </si>
  <si>
    <t>2786</t>
  </si>
  <si>
    <t>2793</t>
  </si>
  <si>
    <t>12/04/2017</t>
  </si>
  <si>
    <t>2796</t>
  </si>
  <si>
    <t>2797</t>
  </si>
  <si>
    <t>19/04/2017</t>
  </si>
  <si>
    <t>2798</t>
  </si>
  <si>
    <t>2799</t>
  </si>
  <si>
    <t>2800</t>
  </si>
  <si>
    <t>2801</t>
  </si>
  <si>
    <t>2802</t>
  </si>
  <si>
    <t>2803</t>
  </si>
  <si>
    <t>2805</t>
  </si>
  <si>
    <t>2806</t>
  </si>
  <si>
    <t>2807</t>
  </si>
  <si>
    <t>26/04/2017</t>
  </si>
  <si>
    <t>2809</t>
  </si>
  <si>
    <t>02/05/2017</t>
  </si>
  <si>
    <t>2811</t>
  </si>
  <si>
    <t>2812</t>
  </si>
  <si>
    <t>08/05/2017</t>
  </si>
  <si>
    <t>2815</t>
  </si>
  <si>
    <t>27/01/2017</t>
  </si>
  <si>
    <t>2770</t>
  </si>
  <si>
    <t>01/02/2017</t>
  </si>
  <si>
    <t>2771</t>
  </si>
  <si>
    <t>05/05/2017</t>
  </si>
  <si>
    <t>2814</t>
  </si>
  <si>
    <t>287-06</t>
  </si>
  <si>
    <t xml:space="preserve">OTROS SERVICIOS TÉCNICOS PROFESIONALES </t>
  </si>
  <si>
    <t>323</t>
  </si>
  <si>
    <t xml:space="preserve">PRENDAS DE VESTIR </t>
  </si>
  <si>
    <t>371-04</t>
  </si>
  <si>
    <t xml:space="preserve">GAS GLP </t>
  </si>
  <si>
    <t>371-05</t>
  </si>
  <si>
    <t xml:space="preserve">ACEITES Y GRASAS </t>
  </si>
  <si>
    <t>04/01/2017</t>
  </si>
  <si>
    <t>2767</t>
  </si>
  <si>
    <t>441-02</t>
  </si>
  <si>
    <t xml:space="preserve">OTRAS TRANSFERENCIAS CORRIENTES A EMPRESAS PÚBLICAS NO FINANCIERAS NACIONALES </t>
  </si>
  <si>
    <t>BLADY &amp; ASOCS,S.A</t>
  </si>
  <si>
    <t>VEHICULO TOYOTA PRADO VX , TIPO JEEP , COLOR NEGRO , CHASIS JTEBH9FJ0GK178121 , AÑO 2016</t>
  </si>
  <si>
    <t>MINISTRA</t>
  </si>
  <si>
    <t>DEPREC. ACUM. AÑO 2016</t>
  </si>
  <si>
    <t>DEPRECIACION AÑO2017</t>
  </si>
  <si>
    <t>VALOR LIBRO AÑO 2017</t>
  </si>
  <si>
    <t>DEPREC. ACUM.AÑO 2017</t>
  </si>
  <si>
    <t>VALOR EN LIBRO /2017</t>
  </si>
  <si>
    <t>PAGADO</t>
  </si>
  <si>
    <t>CXP</t>
  </si>
  <si>
    <t>26/05/2017</t>
  </si>
  <si>
    <t>31/05/2017</t>
  </si>
  <si>
    <t>OBJETAL</t>
  </si>
  <si>
    <t>1578</t>
  </si>
  <si>
    <t>1579</t>
  </si>
  <si>
    <t>1580</t>
  </si>
  <si>
    <t>1581</t>
  </si>
  <si>
    <t>03/05/2017</t>
  </si>
  <si>
    <t>1575</t>
  </si>
  <si>
    <t>258</t>
  </si>
  <si>
    <t xml:space="preserve">OTROS ALQUILERES </t>
  </si>
  <si>
    <t>1576</t>
  </si>
  <si>
    <t>28/04/2017</t>
  </si>
  <si>
    <t>1574</t>
  </si>
  <si>
    <t>1582</t>
  </si>
  <si>
    <t>04/05/2017</t>
  </si>
  <si>
    <t>212</t>
  </si>
  <si>
    <t>122-01</t>
  </si>
  <si>
    <t>COMPENSACIÓN POR GASTOS DE ALIMENTACIÓN</t>
  </si>
  <si>
    <t>213</t>
  </si>
  <si>
    <t>214</t>
  </si>
  <si>
    <t>216</t>
  </si>
  <si>
    <t>217</t>
  </si>
  <si>
    <t>218</t>
  </si>
  <si>
    <t>219</t>
  </si>
  <si>
    <t>220</t>
  </si>
  <si>
    <t>221</t>
  </si>
  <si>
    <t>223</t>
  </si>
  <si>
    <t>224</t>
  </si>
  <si>
    <t>225</t>
  </si>
  <si>
    <t>226</t>
  </si>
  <si>
    <t>227</t>
  </si>
  <si>
    <t>228</t>
  </si>
  <si>
    <t>229</t>
  </si>
  <si>
    <t>232</t>
  </si>
  <si>
    <t>29/05/2017</t>
  </si>
  <si>
    <t>233</t>
  </si>
  <si>
    <t>234</t>
  </si>
  <si>
    <t>235</t>
  </si>
  <si>
    <t>18/04/2017</t>
  </si>
  <si>
    <t>02349100</t>
  </si>
  <si>
    <t>12/05/2017</t>
  </si>
  <si>
    <t>02349118</t>
  </si>
  <si>
    <t>COMPENSACION GASTOS DE ALIMENTACION</t>
  </si>
  <si>
    <t>Fondos Republica Dominicana</t>
  </si>
  <si>
    <t>RESULTADO DEL EJERCICIO AHORRO DE LA GESTION 2017</t>
  </si>
  <si>
    <t>INGRESOS O RECURSOS DIRECTOS</t>
  </si>
  <si>
    <t>INGRESOS FONDO 100 POR REGULARIZAR</t>
  </si>
  <si>
    <t>VALOR LIBRO/2017</t>
  </si>
  <si>
    <t xml:space="preserve">OTROS MOBILIARIOS Y EQUIPOS </t>
  </si>
  <si>
    <t>DISTOSA, SRL</t>
  </si>
  <si>
    <t>FOTOCOPIADORA TOSHIBA MOD. ESTUDIO 3508A, DISCO DURO 320 GB, MEMORIA 4 GB, IMPRESIÓN DUPLEX, IMPRESIÓN EN RED</t>
  </si>
  <si>
    <t>AREA DE FOTOCOPIAS</t>
  </si>
  <si>
    <t>VALOR LIBRO AL 01/01 AÑO 2017</t>
  </si>
  <si>
    <t>SUPLIDORA REYSA, EIRL</t>
  </si>
  <si>
    <t>TECNOLOGIA</t>
  </si>
  <si>
    <t xml:space="preserve">DISCO DURO ESTRAIBLE DE DOS (2) TERABYTE </t>
  </si>
  <si>
    <t xml:space="preserve">DISCO DURO ESTRAIBLE DE UN (1) TERABYTE </t>
  </si>
  <si>
    <t>TOTAL:  OTROS MOBILIARIOS Y EQUIPOS</t>
  </si>
  <si>
    <t>OMAR MUEBLES</t>
  </si>
  <si>
    <t>DESPACHO</t>
  </si>
  <si>
    <t>ARCHIVO ATTIA ENCHAPADO  2 GAVETAS, 24"X16.5"X24"  COLOR OSCURO  , CERRADURA Y LLAVES</t>
  </si>
  <si>
    <t>CREDENZA ATTIA ENCHAPADO 2 PUERTAS Y 2 GAVETAS  DE ARCHIVO LATERAL, 17'X72X"X29", COLOR OSCURO</t>
  </si>
  <si>
    <t>ESCRITORIO EJECUTIVO  ATTIA , ENCHAPADO COLOR OSCURO ,36"X72"</t>
  </si>
  <si>
    <t xml:space="preserve">RETORNO ATTIA  P/ESCRITORIO EJECUTIVO  18"X40X29 , ENCHAPADO , COLOR OSCURO </t>
  </si>
  <si>
    <t>MESA REDONDA DE REUNIONES ATTIA  P/4 PERSONAS ,ENCHAPADA , COLOR MADERA OSCURO, REF.C-310</t>
  </si>
  <si>
    <t>SILLON BOSS EJECUTIVO C/BRAZOS RECLINABLE Y ESPALDAR ALTO ; TAPIZ PIEL SINTETICA ,COLOR NEGRO</t>
  </si>
  <si>
    <t>SILLA DE VISITA B-9229, ESTRUCTURA CROMADA , PIEL SINTETICA ,COLOR NEGRO</t>
  </si>
  <si>
    <t>SILLA DE VISITA DAVID LINEA SPACE , ESTRUCTURA TUBULAR NIQUELADA ,TAPIZ  PIEL NATURAL ,COLOR NEGRO</t>
  </si>
  <si>
    <t>TOTAL:  MOBILIARIOS Y EQUIPOS</t>
  </si>
  <si>
    <t xml:space="preserve"> MUEBLES DE OFICINA Y ESTANTERIA</t>
  </si>
  <si>
    <t>SILLAS PLEGABLES</t>
  </si>
  <si>
    <t>CENTRO DE SALUD Y PROMOCION INTEGRAL</t>
  </si>
  <si>
    <t>SOLAJICO COMERCIAL</t>
  </si>
  <si>
    <t>CORRESPONDIENTE AL AÑO 2017</t>
  </si>
  <si>
    <t>@</t>
  </si>
  <si>
    <t>TRANSFERENCIAS DE CAPITAL PARA BIENES EN REPOSICION DE ACTIVOS</t>
  </si>
  <si>
    <t>TRANSFERENCIAS DE CAPITAL A OTRAS INSTITUCIONES PUBLICAS</t>
  </si>
  <si>
    <t>592</t>
  </si>
  <si>
    <t>ASIENTO-1</t>
  </si>
  <si>
    <t>ASIENTO-2</t>
  </si>
  <si>
    <t>629</t>
  </si>
  <si>
    <t>ASIENTO PARA RELASIFICAR COMPRA DE EQUIPOS , PARA DONACION A OTRA INSTITUCION PUBLICAS</t>
  </si>
  <si>
    <t>MAQUINARIA Y EQUIPOS INDUSTRIALES</t>
  </si>
  <si>
    <t xml:space="preserve">RESULTADO DE OPERACIONES </t>
  </si>
  <si>
    <t>TRANSFERENCIA DE CAPITAL PARA BIENES EN REPOSICION DE ACTIVOS</t>
  </si>
  <si>
    <t>OTRAS TRANSFERENCIAS POR PAGAR</t>
  </si>
  <si>
    <t>INVENTARIO DE BIENES DE CONSUMO</t>
  </si>
  <si>
    <t>ASIENTO PARA RELASIFICAR COMPRA DE MATERIALES GASTABLE CORRESP.ENERO-JUNIO 2017</t>
  </si>
  <si>
    <t>PRODUCTOS DE UTILES VARIOS</t>
  </si>
  <si>
    <t>PRODUCTOS PAPEL DE ESCRITORIO</t>
  </si>
  <si>
    <t>RELAC.CK.REGULARIZADO</t>
  </si>
  <si>
    <t>272-06</t>
  </si>
  <si>
    <t>SOLAJICO COMERCIAL , SRL</t>
  </si>
  <si>
    <t xml:space="preserve">MAQUINA IMPRESORA MULTIFUNCIONAL A COLOR ; IMPRESIÓN /COPIA/SCANNER Y FAX </t>
  </si>
  <si>
    <t xml:space="preserve">MAQUINA IMPRESORA MULTIFUNCIONAL A COLOR ; IMPRESIÓN LASER /COPIA/SCANNER Y FAX </t>
  </si>
  <si>
    <t>OFICINAS PROVINCIALES Y MUNICIPALES</t>
  </si>
  <si>
    <t>SEDE CENTRAL</t>
  </si>
  <si>
    <t>SOLUTEP</t>
  </si>
  <si>
    <t>TARGETAS SISTEMA CONTROL P/UPS 30 KVA</t>
  </si>
  <si>
    <t>CUENTAS POR COBRAR</t>
  </si>
  <si>
    <t>2103010001</t>
  </si>
  <si>
    <t>SUELDOS Y JORNALES A PAGAR</t>
  </si>
  <si>
    <t>SUELDOS Y JORNALES POR PAGAR</t>
  </si>
  <si>
    <t>510102000109990002</t>
  </si>
  <si>
    <t>COMISIONES Y GASTOS BANCARIOS</t>
  </si>
  <si>
    <t>BR - FONDOS PROVENIENTES DE DONACIONES DIRECTAS</t>
  </si>
  <si>
    <t>FONDO ANTICIPOS FINANCIEROS</t>
  </si>
  <si>
    <t>11010300010013</t>
  </si>
  <si>
    <t>BANCO DE RESERVAS - CUENTAS OPERATIVAS RECURSOS DIRECTOS EN RD$</t>
  </si>
  <si>
    <t>GC-Tes-Aviso-Deb-Gasto-Aprobar Aviso de DébitoS corresp.enero-julio2017</t>
  </si>
  <si>
    <t>transferencia de sobrante de fondo eventual , en fecha julio 2017</t>
  </si>
  <si>
    <t>510102000200030001</t>
  </si>
  <si>
    <t>PAPEL DE ESCRITORIO</t>
  </si>
  <si>
    <t>ASIENTO PARA RELASIFICAR COMPRA DE MATERIALES GASTABLE CORRESP.ENERO-JUlIO 2017</t>
  </si>
  <si>
    <t>casa acogida</t>
  </si>
  <si>
    <t>BIENES DE CONSUMO</t>
  </si>
  <si>
    <t>LIC. IVELISSE VARGAS S.</t>
  </si>
  <si>
    <t>REVISADO POR</t>
  </si>
  <si>
    <t>AGOSTO</t>
  </si>
  <si>
    <t>CARGOS</t>
  </si>
  <si>
    <t>CXP IRS</t>
  </si>
  <si>
    <t>AREA DE COMUNICACIÓN</t>
  </si>
  <si>
    <t>TELESVISOR SMART TV  32'  LED , MARCA PANASONIC TC-32DS600L</t>
  </si>
  <si>
    <t>MINI-COMPONENTE PANASONIC SC-AKX500 650W</t>
  </si>
  <si>
    <t>OFICINA UNIVERAL</t>
  </si>
  <si>
    <t>DISCO DURO EXTERNO 2TB</t>
  </si>
  <si>
    <t>COMPUTADORAS COREI5,4GB, MONITOR 19" ,MOUSE,TECLADO</t>
  </si>
  <si>
    <t>OMM/OPM, SEDE CENTRO LOS PRADOS</t>
  </si>
  <si>
    <t>MES DE AGOSTO 2017</t>
  </si>
  <si>
    <t>GC-Tes-Aviso-Deb-Gasto-Aprobar Aviso de DébitoS corresp.agosto2017</t>
  </si>
  <si>
    <t>GC-Tes-Aviso-Deb-Gasto-Aprobar Aviso de DébitoS  corresp.agosto2017</t>
  </si>
  <si>
    <t>ASIENTO PARA RELASIFICAR COMPRA DE MATERIALES GASTABLE CORRESP.AGOSTO 2017</t>
  </si>
  <si>
    <t xml:space="preserve">BONO DE DESEMPEÑO </t>
  </si>
  <si>
    <t>COMPENSACION POR RESULTADOS</t>
  </si>
  <si>
    <t>EQUIPOS Y APARATOS  AUDIOVISUALES</t>
  </si>
  <si>
    <t>GRUO ICEBERG</t>
  </si>
  <si>
    <t>BOCINAS AMPLIFICADAS 15" USB RECARGABLE FM MIC</t>
  </si>
  <si>
    <t>OFICINAS OPM/OMM</t>
  </si>
  <si>
    <t>TOTAL:  EQUIPOS Y APARATOS AUDIOVISUALES</t>
  </si>
  <si>
    <t>SEPTIEMBRE</t>
  </si>
  <si>
    <t xml:space="preserve"> REGULARIZADO</t>
  </si>
  <si>
    <t>CARGOS BCO</t>
  </si>
  <si>
    <t>08/09/2017</t>
  </si>
  <si>
    <t>2911</t>
  </si>
  <si>
    <t xml:space="preserve">TELÉFONO LOCAL </t>
  </si>
  <si>
    <t>11/09/2017</t>
  </si>
  <si>
    <t>2912</t>
  </si>
  <si>
    <t>01/09/2017</t>
  </si>
  <si>
    <t>2901</t>
  </si>
  <si>
    <t>05/09/2017</t>
  </si>
  <si>
    <t>2902</t>
  </si>
  <si>
    <t>2903</t>
  </si>
  <si>
    <t>2904</t>
  </si>
  <si>
    <t>2905</t>
  </si>
  <si>
    <t>06/09/2017</t>
  </si>
  <si>
    <t>2908</t>
  </si>
  <si>
    <t>263</t>
  </si>
  <si>
    <t xml:space="preserve">SEGUROS DE PERSONAS </t>
  </si>
  <si>
    <t>2909</t>
  </si>
  <si>
    <t>2910</t>
  </si>
  <si>
    <t>261</t>
  </si>
  <si>
    <t xml:space="preserve">SEGURO DE BIENES INMUEBLES </t>
  </si>
  <si>
    <t>ENTRADA DE DIARIO SEPTIEMBRE 2017 ( FONDO REPONIBLE)</t>
  </si>
  <si>
    <t xml:space="preserve">MANTENIMIENTO Y REPARACIÓN DE EQUIPOS DE TRANSPORTE, TRACCIÓN Y ELEVACIÓN </t>
  </si>
  <si>
    <t>2922</t>
  </si>
  <si>
    <t>2907</t>
  </si>
  <si>
    <t>353</t>
  </si>
  <si>
    <t xml:space="preserve">LLANTAS Y NEUMÁTICOS </t>
  </si>
  <si>
    <t>363-06</t>
  </si>
  <si>
    <t xml:space="preserve">ACCESORIOS DE METAL </t>
  </si>
  <si>
    <t>371-01</t>
  </si>
  <si>
    <t xml:space="preserve">GASOLINA </t>
  </si>
  <si>
    <t>372-02</t>
  </si>
  <si>
    <t xml:space="preserve">PRODUCTOS FOTOQUÍMICOS </t>
  </si>
  <si>
    <t>MINISTERIO DE LA MUJER    BALANCE AL 31/07/2017</t>
  </si>
  <si>
    <t>ADDICIONES AGOSTO 2017 MINISTERIO DE LA MUJER</t>
  </si>
  <si>
    <t>Periodo:  DEL 1RO DE ENERO AL 30 DE AGOSTO 2017</t>
  </si>
  <si>
    <t>MAYOR IMVENTARIO BIENES DE CONSUMO</t>
  </si>
  <si>
    <t>DEBITO</t>
  </si>
  <si>
    <t>CREIDTO</t>
  </si>
  <si>
    <t>INICIAL</t>
  </si>
  <si>
    <t>MES DE SEPTIEMBRE 2017</t>
  </si>
  <si>
    <t>ASIENTO PARA RELASIFICAR COMPRA DE MATERIALES GASTABLE CORRESP. SEPT. 2017</t>
  </si>
  <si>
    <t>ASIENTO PARA RELASIFICAR COMPRA DE MATERIALES GASTABLE CORRESPSEPTIEMBRE 2017</t>
  </si>
  <si>
    <t>BR ,Republica Dominicana Cta unica tesoro</t>
  </si>
  <si>
    <t>RELACION CK. REGULARIZADO EN OCTUBRE</t>
  </si>
  <si>
    <t>272-6</t>
  </si>
  <si>
    <t>CIRCUTOR</t>
  </si>
  <si>
    <t>SILLONES EJECUTIVO PIEL SINTETICA/C BRAZOS BASE ESPALDAR</t>
  </si>
  <si>
    <t>SILLON EJECUTIVO,COLOR NEGRO , ERGONOMICO Y MULTIFUNCIONAL,SOPORTE LUMBAL FLEXIBLE,C/BRAZOS ,PIEL SINTETICA</t>
  </si>
  <si>
    <t>SILLAS SECRETARIALES  , COLOR NEGRO C/BRAZPS FIJOS ERGONOMICO , PIEL SINTETICA</t>
  </si>
  <si>
    <t>MES DE OCTUBRE 2017</t>
  </si>
  <si>
    <t>GC-Tes-Aviso-Deb-Gasto-Aprobar Aviso de DébitoS corresp.Octubre2017</t>
  </si>
  <si>
    <t>GC-Tes-Aviso-Deb-Gasto-Aprobar Aviso de DébitoS  corresp.octubre2017</t>
  </si>
  <si>
    <t>cr.</t>
  </si>
  <si>
    <t>dr</t>
  </si>
  <si>
    <t xml:space="preserve">rebaja utiles </t>
  </si>
  <si>
    <t>DEPREC. ANUAL</t>
  </si>
  <si>
    <t>BIENE USO</t>
  </si>
  <si>
    <t>INTANGIBLES</t>
  </si>
  <si>
    <t>DICIEMBRE</t>
  </si>
  <si>
    <t>285-3</t>
  </si>
  <si>
    <t>RESUMEN</t>
  </si>
  <si>
    <t>MES DE NOVIEMBRE 2017</t>
  </si>
  <si>
    <t>GC-Tes-Aviso-Deb-Gasto-Aprobar Aviso de DébitoS corresp.Noviembre2017</t>
  </si>
  <si>
    <t>GC-Tes-Aviso-Deb-Gasto-Aprobar Aviso de DébitoS  corresp.Noviembre2017</t>
  </si>
  <si>
    <t>REGALIA PASCUAL (SUELDO ANUAL No.13)</t>
  </si>
  <si>
    <t>PRESTACIONES ECONOMICAS POR DESVINCULACION</t>
  </si>
  <si>
    <t>VACACIONES NO DISFRUTADAS</t>
  </si>
  <si>
    <t>SG CLEAN</t>
  </si>
  <si>
    <t>BEBEDERO AMERICAN MOD.LM-06</t>
  </si>
  <si>
    <t>OPM SAN FRANCISCO DE MACORIS</t>
  </si>
  <si>
    <t>MICROONDA , MARCA OSTER , COLOR NEGRO</t>
  </si>
  <si>
    <t>ESTUFA DE HORNO , MARCA CONTINENTAL</t>
  </si>
  <si>
    <t>NEVERA DE 12 PIES , MARCA NEDOCA</t>
  </si>
  <si>
    <t>TOSTADORA , MARCA OSTER</t>
  </si>
  <si>
    <t>CLICK SOLUTIONS</t>
  </si>
  <si>
    <t>LECTOR DE HUELLAS DIGITAL (PONCHADOR)</t>
  </si>
  <si>
    <t>RELCION CK. REGULARIZAdo</t>
  </si>
  <si>
    <t>CK.</t>
  </si>
  <si>
    <t>MONTO</t>
  </si>
  <si>
    <t>372-03</t>
  </si>
  <si>
    <t>VIATICOS</t>
  </si>
  <si>
    <t>CABLE</t>
  </si>
  <si>
    <t>PEAJE</t>
  </si>
  <si>
    <t>OTROS SERV,TECNICOS</t>
  </si>
  <si>
    <t>ALIMENTOS Y BEBIDAS</t>
  </si>
  <si>
    <t>PROD. PAPEL Y CARTON</t>
  </si>
  <si>
    <t>GAS GLP</t>
  </si>
  <si>
    <t>PROD. QUIMICOS USO PERSONAL</t>
  </si>
  <si>
    <t>MATERIAL LIMPIEZA</t>
  </si>
  <si>
    <t>MANT REP.VEH. TRASNP.</t>
  </si>
  <si>
    <t>ARTICULOS CAUCHOS</t>
  </si>
  <si>
    <t>ARTICULOS PLASTICOS</t>
  </si>
  <si>
    <t>ESTRUCT.METALICAS</t>
  </si>
  <si>
    <t>ACEITES Y GRASAS</t>
  </si>
  <si>
    <t>PROD.ELECTRICOS AFINES</t>
  </si>
  <si>
    <t>OTROS REPUESTOS ACCESORIOS METALES</t>
  </si>
  <si>
    <t>RELACION CK. POR REGULARIZAR</t>
  </si>
  <si>
    <t>Cargos Bancarios</t>
  </si>
  <si>
    <t>manejo cta.</t>
  </si>
  <si>
    <t>ret. Estado</t>
  </si>
  <si>
    <t>impuestos 0.15%</t>
  </si>
  <si>
    <t>cargos p/transf,divisa</t>
  </si>
  <si>
    <t>MES DE DICIEMBRE 2017</t>
  </si>
  <si>
    <t>GC-Tes-Aviso-Deb-Gasto-Aprobar Aviso de DébitoS corresp.Diciembre2017</t>
  </si>
  <si>
    <t>GC-Tes-Aviso-Deb-Gasto-Aprobar Aviso de DébitoS  corresp.Diciembre2017</t>
  </si>
  <si>
    <t>ASIENTO PARA RELASIFICAR COMPRA DE MATERIALES GASTABLE CORRESP. DICIEMBRE 2017</t>
  </si>
  <si>
    <t>OTROS MOBILIARIOS NO IDENTIFICADOS</t>
  </si>
  <si>
    <t>SILVESTRE MARTINEZ</t>
  </si>
  <si>
    <t>RELACION DE CUSTODIO DE LOS FONDOS</t>
  </si>
  <si>
    <t>NOTA: EXPLICATIVA</t>
  </si>
  <si>
    <t>RELACION DE CTAS. FONDOS PROVENIENTES DE DONACIONES DIRECTAS</t>
  </si>
  <si>
    <t>240-012102-2</t>
  </si>
  <si>
    <t>No. Cuenta</t>
  </si>
  <si>
    <t>Nombre Cta</t>
  </si>
  <si>
    <t>Balance</t>
  </si>
  <si>
    <t>Korea-Mmujer</t>
  </si>
  <si>
    <t>960-033772-8</t>
  </si>
  <si>
    <t>Mmujer-AECI</t>
  </si>
  <si>
    <t>Total: Fondos Donaciones Directas</t>
  </si>
  <si>
    <t>CUSTODIO</t>
  </si>
  <si>
    <t>UBICACIÓN</t>
  </si>
  <si>
    <t>DEPTO TESORERIA</t>
  </si>
  <si>
    <t>DIR. ADMINISTRATIVA</t>
  </si>
  <si>
    <t>"ENERO2018</t>
  </si>
  <si>
    <t>"FEBRERO2018</t>
  </si>
  <si>
    <t>IMPUESTOS 0.15%</t>
  </si>
  <si>
    <t>MANEJO CTA</t>
  </si>
  <si>
    <t>RET. ESTADO</t>
  </si>
  <si>
    <t>TOTAL CUENTAS POR COBRAR</t>
  </si>
  <si>
    <t>361-01</t>
  </si>
  <si>
    <t>364-04</t>
  </si>
  <si>
    <t>287-02</t>
  </si>
  <si>
    <t>DEP.MENSUAL</t>
  </si>
  <si>
    <t>TRANS. SECTOR PRIVADO</t>
  </si>
  <si>
    <t>COMUNICACIONES</t>
  </si>
  <si>
    <t>MAYO/2018</t>
  </si>
  <si>
    <t>288-1</t>
  </si>
  <si>
    <t>311-1</t>
  </si>
  <si>
    <t>354</t>
  </si>
  <si>
    <t>MANT.EQUIPOS TRANSPORTE</t>
  </si>
  <si>
    <t>SERV.JURIDICOS</t>
  </si>
  <si>
    <t>IMPUESTOS Y TASAS</t>
  </si>
  <si>
    <t>PROD.MEDICINALES</t>
  </si>
  <si>
    <t>PROD.ELECTRICOS</t>
  </si>
  <si>
    <t>OTROS SERV.TECNICOS</t>
  </si>
  <si>
    <t>PROD.CEMENTO</t>
  </si>
  <si>
    <t>ESCTRUCTUA METALICA</t>
  </si>
  <si>
    <t>GAS , GLP</t>
  </si>
  <si>
    <t>ACEITES ,GRASAS</t>
  </si>
  <si>
    <t>PROD.QUIMICOS</t>
  </si>
  <si>
    <t>PRODUCTOS VARIOS</t>
  </si>
  <si>
    <t>39</t>
  </si>
  <si>
    <t>APLIC.CREDITO</t>
  </si>
  <si>
    <t>RELACION GASTOS BANCARIOS</t>
  </si>
  <si>
    <t>KOREA</t>
  </si>
  <si>
    <t>AECI</t>
  </si>
  <si>
    <t>OPERATIVA</t>
  </si>
  <si>
    <t>BIENES USO</t>
  </si>
  <si>
    <t>LIC. EMPERATRIZ VALERA</t>
  </si>
  <si>
    <t>DIRECTORA FINANCIERO</t>
  </si>
  <si>
    <t>ORGANISMO FINANCIADOR</t>
  </si>
  <si>
    <t>INGRESOS PROVENIENTES DE DONACIONES DIRECTAS</t>
  </si>
  <si>
    <t>Cod.Ref CCP Aux</t>
  </si>
  <si>
    <t>Ref CCP Aux</t>
  </si>
  <si>
    <t>Total Preventivo</t>
  </si>
  <si>
    <t>Total Compromiso</t>
  </si>
  <si>
    <t>Total Devengado</t>
  </si>
  <si>
    <t>Total Librado</t>
  </si>
  <si>
    <t>Total Pagado</t>
  </si>
  <si>
    <t>2.1.1.1.01</t>
  </si>
  <si>
    <t>Sueldos fijos</t>
  </si>
  <si>
    <t>2.1.1.2.01</t>
  </si>
  <si>
    <t>Sueldos al personal contratado e igualado</t>
  </si>
  <si>
    <t>2.1.1.4.01</t>
  </si>
  <si>
    <t>Sueldo Anual No. 13</t>
  </si>
  <si>
    <t>2.1.1.5.03</t>
  </si>
  <si>
    <t>Prestación laboral por desvinculación</t>
  </si>
  <si>
    <t>2.1.1.5.04</t>
  </si>
  <si>
    <t>Proporción de vacaciones no disfrutadas</t>
  </si>
  <si>
    <t>2.1.2.2.05</t>
  </si>
  <si>
    <t>Compensación servicios de seguridad</t>
  </si>
  <si>
    <t>2.1.5.1.01</t>
  </si>
  <si>
    <t>Contribuciones al seguro de salud</t>
  </si>
  <si>
    <t>2.1.5.2.01</t>
  </si>
  <si>
    <t>Contribuciones al seguro de pensiones</t>
  </si>
  <si>
    <t>2.1.5.3.01</t>
  </si>
  <si>
    <t>Contribuciones al seguro de riesgo laboral</t>
  </si>
  <si>
    <t>2.2.1.2.01</t>
  </si>
  <si>
    <t>Servicios telefónico de larga distancia</t>
  </si>
  <si>
    <t>2.2.1.3.01</t>
  </si>
  <si>
    <t>Teléfono local</t>
  </si>
  <si>
    <t>2.2.1.5.01</t>
  </si>
  <si>
    <t>Servicio de internet y televisión por cable</t>
  </si>
  <si>
    <t>2.2.1.6.01</t>
  </si>
  <si>
    <t>Energía eléctrica</t>
  </si>
  <si>
    <t>2.2.1.7.01</t>
  </si>
  <si>
    <t>Agua</t>
  </si>
  <si>
    <t>2.2.1.8.01</t>
  </si>
  <si>
    <t>Recolección de residuos</t>
  </si>
  <si>
    <t>2.2.2.1.01</t>
  </si>
  <si>
    <t>Publicidad y propaganda</t>
  </si>
  <si>
    <t>2.2.2.2.01</t>
  </si>
  <si>
    <t>Impresión y encuadernación</t>
  </si>
  <si>
    <t>2.2.3.1.01</t>
  </si>
  <si>
    <t>Viáticos dentro del país</t>
  </si>
  <si>
    <t>2.2.3.2.01</t>
  </si>
  <si>
    <t>Viaticos fuera del país</t>
  </si>
  <si>
    <t>2.2.4.1.01</t>
  </si>
  <si>
    <t>Pasajes</t>
  </si>
  <si>
    <t>2.2.4.4.01</t>
  </si>
  <si>
    <t>Peaje</t>
  </si>
  <si>
    <t>2.2.5.1.01</t>
  </si>
  <si>
    <t>Alquilleres y rentas de edificios y locales</t>
  </si>
  <si>
    <t>2.2.5.4.01</t>
  </si>
  <si>
    <t>Alquileres de equipos de transporte, tracción y elevación</t>
  </si>
  <si>
    <t>2.2.5.8.01</t>
  </si>
  <si>
    <t>Otros alquileres</t>
  </si>
  <si>
    <t>2.2.6.2.01</t>
  </si>
  <si>
    <t>Seguro de bienes muebles</t>
  </si>
  <si>
    <t>2.2.7.1.01</t>
  </si>
  <si>
    <t>Obras menores en edificaciones</t>
  </si>
  <si>
    <t>2.2.7.2.01</t>
  </si>
  <si>
    <t>Mantenimiento y reparación de muebles y equipos de oficina</t>
  </si>
  <si>
    <t>2.2.7.2.02</t>
  </si>
  <si>
    <t>Mantenimiento y reparación de equipo para computación</t>
  </si>
  <si>
    <t>2.2.7.2.06</t>
  </si>
  <si>
    <t>Mantenimiento y reparación de equipos de transporte, tracción y elevación</t>
  </si>
  <si>
    <t>2.2.7.2.08</t>
  </si>
  <si>
    <t>Servicios de mantenimiento, reparación, desmonte e instalación</t>
  </si>
  <si>
    <t>2.2.8.2.01</t>
  </si>
  <si>
    <t>Comisiones y gastos bancarios</t>
  </si>
  <si>
    <t>2.2.8.5.01</t>
  </si>
  <si>
    <t>Fumigación</t>
  </si>
  <si>
    <t>2.2.8.6.01</t>
  </si>
  <si>
    <t>Eventos generales</t>
  </si>
  <si>
    <t>2.2.8.6.04</t>
  </si>
  <si>
    <t>Actuaciones artísticas</t>
  </si>
  <si>
    <t>2.2.8.7.02</t>
  </si>
  <si>
    <t>Servicios jurídicos</t>
  </si>
  <si>
    <t>2.2.8.7.04</t>
  </si>
  <si>
    <t>Servicios de capacitación</t>
  </si>
  <si>
    <t>2.2.8.7.05</t>
  </si>
  <si>
    <t>Servicios de informática y sistemas computarizados</t>
  </si>
  <si>
    <t>2.2.8.7.06</t>
  </si>
  <si>
    <t>Otros servicios técnicos profesionales</t>
  </si>
  <si>
    <t>2.2.8.8.01</t>
  </si>
  <si>
    <t>Impuestos</t>
  </si>
  <si>
    <t>2.3.1.1.01</t>
  </si>
  <si>
    <t>Alimentos y bebidas para personas</t>
  </si>
  <si>
    <t>2.3.1.3.03</t>
  </si>
  <si>
    <t>Productos forestales</t>
  </si>
  <si>
    <t>2.3.2.1.01</t>
  </si>
  <si>
    <t>Hilados y telas</t>
  </si>
  <si>
    <t>2.3.2.2.01</t>
  </si>
  <si>
    <t>Acabados textiles</t>
  </si>
  <si>
    <t>2.3.2.3.01</t>
  </si>
  <si>
    <t>Prendas de vestir</t>
  </si>
  <si>
    <t>2.3.3.1.01</t>
  </si>
  <si>
    <t>Papel de escritorio</t>
  </si>
  <si>
    <t>2.3.3.2.01</t>
  </si>
  <si>
    <t>Productos de papel y cartón</t>
  </si>
  <si>
    <t>2.3.4.1.01</t>
  </si>
  <si>
    <t>Productos medicinales para uso humano</t>
  </si>
  <si>
    <t>2.3.5.3.01</t>
  </si>
  <si>
    <t>Llantas y neumáticos</t>
  </si>
  <si>
    <t>2.3.5.4.01</t>
  </si>
  <si>
    <t>Artículos de caucho</t>
  </si>
  <si>
    <t>2.3.5.5.01</t>
  </si>
  <si>
    <t>Artículos de plástico</t>
  </si>
  <si>
    <t>2.3.6.3.03</t>
  </si>
  <si>
    <t>Estructuras metálicas acabadas</t>
  </si>
  <si>
    <t>2.3.6.3.06</t>
  </si>
  <si>
    <t>Accesorios de metal</t>
  </si>
  <si>
    <t>2.3.7.1.02</t>
  </si>
  <si>
    <t>Gasoil</t>
  </si>
  <si>
    <t>2.3.7.1.04</t>
  </si>
  <si>
    <t>Gas GLP</t>
  </si>
  <si>
    <t>2.3.7.1.05</t>
  </si>
  <si>
    <t>Aceites y grasas</t>
  </si>
  <si>
    <t>2.3.7.1.06</t>
  </si>
  <si>
    <t>Lubricantes</t>
  </si>
  <si>
    <t>2.3.9.1.01</t>
  </si>
  <si>
    <t>Material para limpieza</t>
  </si>
  <si>
    <t>2.3.9.2.01</t>
  </si>
  <si>
    <t>Útiles de escritorio, oficina e informática </t>
  </si>
  <si>
    <t>2.3.9.2.02</t>
  </si>
  <si>
    <t>Útiles escolares</t>
  </si>
  <si>
    <t>2.3.9.5.01</t>
  </si>
  <si>
    <t>Utiles de cocina y comedor</t>
  </si>
  <si>
    <t>2.3.9.6.01</t>
  </si>
  <si>
    <t>Productos eléctricos y afines</t>
  </si>
  <si>
    <t>2.3.9.8.01</t>
  </si>
  <si>
    <t>Otros repuestos y accesorios menores</t>
  </si>
  <si>
    <t>2.3.9.9.01</t>
  </si>
  <si>
    <t>Productos y Utiles Varios  n.i.p</t>
  </si>
  <si>
    <t>2.3.9.9.02</t>
  </si>
  <si>
    <t>Bonos para útiles diversos</t>
  </si>
  <si>
    <t>2.4.1.3.01</t>
  </si>
  <si>
    <t>Premios literarios, deportivos y culturales</t>
  </si>
  <si>
    <t>2.4.1.6.01</t>
  </si>
  <si>
    <t>Transferencias corrientes programadas a asociaciones sin fines de lucro</t>
  </si>
  <si>
    <t>2.4.7.2.01</t>
  </si>
  <si>
    <t>Transferencias corrientes a Organismos Internacionales</t>
  </si>
  <si>
    <t>2.4.9.1.01</t>
  </si>
  <si>
    <t>Transferencias corrientes destinadas a otras instituciones públicas</t>
  </si>
  <si>
    <t>2.6.1.1.01</t>
  </si>
  <si>
    <t>Muebles, equipos de oficina y estantería</t>
  </si>
  <si>
    <t>2.6.1.3.01</t>
  </si>
  <si>
    <t>Equipo computacional</t>
  </si>
  <si>
    <t>2.6.1.4.01</t>
  </si>
  <si>
    <t>Electrodomésticos</t>
  </si>
  <si>
    <t>2.6.1.9.01</t>
  </si>
  <si>
    <t>Otros Mobiliarios y Equipos no Identificados Precedentemente</t>
  </si>
  <si>
    <t>2.6.2.1.01</t>
  </si>
  <si>
    <t>Equipos y Aparatos Audiovisuales</t>
  </si>
  <si>
    <t>2.6.4.1.01</t>
  </si>
  <si>
    <t>Automóviles y camiones</t>
  </si>
  <si>
    <t>2.6.5.2.02</t>
  </si>
  <si>
    <t>Maquinaria y equipos para el tratamiento y suministro de agua</t>
  </si>
  <si>
    <t>2.6.5.5.01</t>
  </si>
  <si>
    <t>Equipo de comunicación, telecomunicaciones y señalamiento</t>
  </si>
  <si>
    <t>2.6.8.3.01</t>
  </si>
  <si>
    <t>Programas de informática</t>
  </si>
  <si>
    <t>SERV.L/DISTANCIA</t>
  </si>
  <si>
    <t>SERV. BASICOS</t>
  </si>
  <si>
    <t>PUBLICIDAD Y ENC.</t>
  </si>
  <si>
    <t>TRANSPORTE</t>
  </si>
  <si>
    <t>ALQULERES</t>
  </si>
  <si>
    <t>CONSERVACION</t>
  </si>
  <si>
    <t>EVENTOS</t>
  </si>
  <si>
    <t>OTROS</t>
  </si>
  <si>
    <t>SERV.TECNICO PROF.</t>
  </si>
  <si>
    <t>ACABADOS TEXTILES</t>
  </si>
  <si>
    <t>PRODUCTOS PAPEL</t>
  </si>
  <si>
    <t>PROD.PLASTICOS</t>
  </si>
  <si>
    <t>PROD.METALICOS</t>
  </si>
  <si>
    <t>COMBUSTIBLES</t>
  </si>
  <si>
    <t>PROD.UTILES VARIOS</t>
  </si>
  <si>
    <t>JUNIO/2018</t>
  </si>
  <si>
    <t>P/REG</t>
  </si>
  <si>
    <t>SERV. COMUNICACIÓN</t>
  </si>
  <si>
    <t>FALTA CN</t>
  </si>
  <si>
    <t>cargos bancarios</t>
  </si>
  <si>
    <t>AL 30/06/2018</t>
  </si>
  <si>
    <t>CORRESPONDIENTE AL AÑO 2018</t>
  </si>
  <si>
    <t>2.2.4.2.01</t>
  </si>
  <si>
    <t>Fletes</t>
  </si>
  <si>
    <t>2.3.3.3.01</t>
  </si>
  <si>
    <t>Productos de artes gráficas</t>
  </si>
  <si>
    <t>BASICOS</t>
  </si>
  <si>
    <t>ALQUILERES</t>
  </si>
  <si>
    <t>OBRAS MENORES</t>
  </si>
  <si>
    <t>CARGOS BANCARIOS</t>
  </si>
  <si>
    <t>2.1.2.2.06</t>
  </si>
  <si>
    <t>Compensación por resultados</t>
  </si>
  <si>
    <t xml:space="preserve">                                                                                                                      </t>
  </si>
  <si>
    <t>MANT.EQUIPOS</t>
  </si>
  <si>
    <t>COMUNIC.</t>
  </si>
  <si>
    <t>SERV.BASICOS</t>
  </si>
  <si>
    <t>PUBLICIDAD Y ENCUAD.</t>
  </si>
  <si>
    <t>TRANSP. Y ALMACENAJE</t>
  </si>
  <si>
    <t>2.2.5.3.02</t>
  </si>
  <si>
    <t>Alquiler de equipo para computación</t>
  </si>
  <si>
    <t>MANTENIMIENTOS</t>
  </si>
  <si>
    <t>ACTUACONES ARTITISTICAS</t>
  </si>
  <si>
    <t>SERV. TECNICOS</t>
  </si>
  <si>
    <t>TEXTILES</t>
  </si>
  <si>
    <t>PROD.ARTES GRAFICAS</t>
  </si>
  <si>
    <t>PROD.Y ART.PLASTICOS</t>
  </si>
  <si>
    <t>ESTRUCTURA METALICAS</t>
  </si>
  <si>
    <t>RESULTADO DE OPERACIONES AL  30 DE  SEPTIEMBRE</t>
  </si>
  <si>
    <t>DEL 1RO DE ENERO AL 30  DE SEPTIEMBRE</t>
  </si>
  <si>
    <t>AHORRO DE GESTION AL 30 DE SEPTIEMBRE 2018</t>
  </si>
  <si>
    <t>SERV.TELEF.</t>
  </si>
  <si>
    <t>PUBLY ENC.</t>
  </si>
  <si>
    <t>ALQUILRES</t>
  </si>
  <si>
    <t>MANTENIMEINTOS</t>
  </si>
  <si>
    <t>2.2.8.8.02</t>
  </si>
  <si>
    <t>Derechos</t>
  </si>
  <si>
    <t>ALIMENTACION</t>
  </si>
  <si>
    <t>PROD. PAPEL</t>
  </si>
  <si>
    <t>MEDIC.</t>
  </si>
  <si>
    <t>ARTI.PLASTICOS</t>
  </si>
  <si>
    <t>ART. METAL</t>
  </si>
  <si>
    <t>COMBUSTIBLE Y LUB.</t>
  </si>
  <si>
    <t>2.3.7.2.03</t>
  </si>
  <si>
    <t>Productos químicos de laboratorio y de uso personal</t>
  </si>
  <si>
    <t>2.3.7.2.06</t>
  </si>
  <si>
    <t>Pinturas, lacas, barnices, diluyentes y absorbentes para pinturas</t>
  </si>
  <si>
    <t>2.4.1.6.05</t>
  </si>
  <si>
    <t>Transferencias corrientes ocasionales a asociaciones sin fines de lucro</t>
  </si>
  <si>
    <t>Periodo: DEL 1RO ENERO AL 31 DE OCTUBRE 2018</t>
  </si>
  <si>
    <t>DEPREC. ANUAL INTAGIBLES</t>
  </si>
  <si>
    <t>3092-3114</t>
  </si>
  <si>
    <t>PASIVOS NO CORRIENTES</t>
  </si>
  <si>
    <t xml:space="preserve">TOTAL PASIVOS </t>
  </si>
  <si>
    <t>0</t>
  </si>
  <si>
    <t>GASTOS PAGADOS ANTICIPADOS</t>
  </si>
  <si>
    <t>SOBRESUELDOS</t>
  </si>
  <si>
    <t>.</t>
  </si>
  <si>
    <t>TRANSFERENCIA AL SECTOR AFSL PRIVADO POR PAGAR</t>
  </si>
  <si>
    <t>Periodo: 2020</t>
  </si>
  <si>
    <t>MENOS: DEPREC.ACUM AL 31 DIC2019</t>
  </si>
  <si>
    <t>ADD/2020 INTANGIBLES</t>
  </si>
  <si>
    <t>DEP.JULIO2020</t>
  </si>
  <si>
    <t>DEPACUM, AL 31 JULIO/2020</t>
  </si>
  <si>
    <t>TOTAL VALOR LIBROS AL 31/01/2019</t>
  </si>
  <si>
    <t>ADDICIONES 2020</t>
  </si>
  <si>
    <t>Periodo: AL 31 DE Agosto 2020</t>
  </si>
  <si>
    <t>Periodo:  DEL 1RO DE ENERO AL 31 DE AGOSTO 2020</t>
  </si>
  <si>
    <t>MINISTERIO DE LA MUJER    BALANCE AL 31/12/2019</t>
  </si>
  <si>
    <t>ADDICIONES DEL 1ERO ENERO AL 31 AGOSTO 2020</t>
  </si>
  <si>
    <t>PREPARADO</t>
  </si>
  <si>
    <t>REVISADO</t>
  </si>
  <si>
    <t>RAISA ROBLES</t>
  </si>
  <si>
    <t>ENC. CONTABILIDAD</t>
  </si>
  <si>
    <t>LICENCIAS INFORMÁTICAS</t>
  </si>
  <si>
    <t>12080100050001</t>
  </si>
  <si>
    <t>DEPRECIACION BIENES INTANGIBLES</t>
  </si>
  <si>
    <t>1208990999</t>
  </si>
  <si>
    <t>BALANCE AL 31/12/2019</t>
  </si>
  <si>
    <t>APORTES</t>
  </si>
  <si>
    <t>FORTALECIMIENTO INSTITUCIONAL PARA LA PREVENCIÓN DE LA VIOLENCIA CONTRA MUJERES Y NIÑAS EN REPÚBLICA DOMINICANA.</t>
  </si>
  <si>
    <t>CODIGO PROYECTO</t>
  </si>
  <si>
    <t>7276</t>
  </si>
  <si>
    <t>0737</t>
  </si>
  <si>
    <t>PREV. DEL EMBARAZO EN ADOLECENTES Y FORTALEC DE LA ASIST. MEDICA PARA LAS MUJERES JOVENES EN R.D.</t>
  </si>
  <si>
    <t>ACTIVIDAD</t>
  </si>
  <si>
    <t>Aporte , Para selección de Centros Educativos , para la formación de Jovenes multipicadores 2020</t>
  </si>
  <si>
    <t>01/09/2019</t>
  </si>
  <si>
    <t>Donacion para el fortalecimiento de  capacidades a las instituciones vinculadas a la prevención de todas formas de violencia contra mujeres y niñas(os) , la trata interna con fines de explotación sexual y /o laboral y la protección de las victimas.</t>
  </si>
  <si>
    <t>08/01/2018</t>
  </si>
  <si>
    <t>28/02/2020</t>
  </si>
  <si>
    <t>TOTAL APORTES</t>
  </si>
  <si>
    <t>MONTO PENDIENTE A EJECUTAR EJECUTAR</t>
  </si>
  <si>
    <t>MONEDA</t>
  </si>
  <si>
    <t>COREA</t>
  </si>
  <si>
    <t>AECID</t>
  </si>
  <si>
    <t>PROYECTO MEJORA DE LA CALIDAD DE LOS SERVICIOS DIRIGIDOS A LA ATENCION Y PROTECCION EFICAZ A VICTIMAS DE VIOLENCIA DE GENERO EN RD</t>
  </si>
  <si>
    <t>25/06/2020</t>
  </si>
  <si>
    <t>REVISADO POR:</t>
  </si>
  <si>
    <t>LIC. RAISA ROBLES</t>
  </si>
  <si>
    <t>Moneda</t>
  </si>
  <si>
    <t>Institucion Bancaria</t>
  </si>
  <si>
    <t>Banreservas</t>
  </si>
  <si>
    <t>Banco Central</t>
  </si>
  <si>
    <t>DIRECTOR  FINANCIERO</t>
  </si>
  <si>
    <t>Periodo:  DEL 1RO DE ENERO AL 30 DE SEPTIEMBRE 2020</t>
  </si>
  <si>
    <t>Total</t>
  </si>
  <si>
    <t>GASTOS DEPREC. AGOSTO/2020</t>
  </si>
  <si>
    <t>VALOR LIBRO</t>
  </si>
  <si>
    <t>AL 31/12/2019</t>
  </si>
  <si>
    <t>DEPRECIACION ANUAL</t>
  </si>
  <si>
    <t>DEPREC.MENSUAL</t>
  </si>
  <si>
    <t>DEPREC.OCTUBRE2020</t>
  </si>
  <si>
    <t>ADD2020</t>
  </si>
  <si>
    <t>DEPACUM, AL 31  OCTUBRE/2020</t>
  </si>
  <si>
    <t xml:space="preserve">CUENTAS POR PAGAR DEUDA PUBLICA </t>
  </si>
  <si>
    <t>Periodo: 2021</t>
  </si>
  <si>
    <t>IVELISSE VARGAS S.</t>
  </si>
  <si>
    <t>FELIX DE JESUS RAMIREZ</t>
  </si>
  <si>
    <t>JENIFFER JIMENEZ</t>
  </si>
  <si>
    <t>TOTAL BIENES USO AL 2020</t>
  </si>
  <si>
    <t>MENOS: DEPREC.ACUM AL 31 DIC2020</t>
  </si>
  <si>
    <t>GASTOS DEPREC.MARZO/2020</t>
  </si>
  <si>
    <t>DEP.MARZO2021</t>
  </si>
  <si>
    <t>ADD/2021</t>
  </si>
  <si>
    <t>ESMERALDA REYES</t>
  </si>
  <si>
    <t>Periodo: al 30 de Septiembre 2021</t>
  </si>
  <si>
    <t>BALANCE GENERAL AL 30 DE SEPTIEMBRE  2021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</si>
</sst>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&quot;RD$&quot;* #,##0.00_-;\-&quot;RD$&quot;* #,##0.00_-;_-&quot;RD$&quot;* &quot;-&quot;??_-;_-@_-"/>
    <numFmt numFmtId="178" formatCode="&quot;RD$&quot;#,##0_);\(&quot;RD$&quot;#,##0\)"/>
    <numFmt numFmtId="179" formatCode="&quot;RD$&quot;#,##0_);[Red]\(&quot;RD$&quot;#,##0\)"/>
    <numFmt numFmtId="180" formatCode="&quot;RD$&quot;#,##0.00_);\(&quot;RD$&quot;#,##0.00\)"/>
    <numFmt numFmtId="181" formatCode="&quot;RD$&quot;#,##0.00_);[Red]\(&quot;RD$&quot;#,##0.00\)"/>
    <numFmt numFmtId="182" formatCode="_(&quot;RD$&quot;* #,##0_);_(&quot;RD$&quot;* \(#,##0\);_(&quot;RD$&quot;* &quot;-&quot;_);_(@_)"/>
    <numFmt numFmtId="183" formatCode="_(&quot;RD$&quot;* #,##0.00_);_(&quot;RD$&quot;* \(#,##0.00\);_(&quot;RD$&quot;* &quot;-&quot;??_);_(@_)"/>
    <numFmt numFmtId="184" formatCode="#,##0.0_);\(#,##0.0\)"/>
    <numFmt numFmtId="185" formatCode="0.00_);\(0.00\)"/>
    <numFmt numFmtId="186" formatCode="0.000000E+00"/>
    <numFmt numFmtId="187" formatCode="#,##0;[Red]#,##0"/>
    <numFmt numFmtId="188" formatCode="#,##0.00;[Red]#,##0.00"/>
    <numFmt numFmtId="189" formatCode="0.0"/>
    <numFmt numFmtId="190" formatCode="_(* #,##0.000_);_(* \(#,##0.000\);_(* &quot;-&quot;??_);_(@_)"/>
    <numFmt numFmtId="191" formatCode="0_);\(0\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_(* #,##0.0_);_(* \(#,##0.0\);_(* &quot;-&quot;??_);_(@_)"/>
    <numFmt numFmtId="197" formatCode="_(* #,##0_);_(* \(#,##0\);_(* &quot;-&quot;??_);_(@_)"/>
    <numFmt numFmtId="198" formatCode="[$-1C0A]dddd\,\ dd&quot; de &quot;mmmm&quot; de &quot;yyyy"/>
    <numFmt numFmtId="199" formatCode="&quot;RD$&quot;#,##0.00"/>
    <numFmt numFmtId="200" formatCode="[$-10409]&quot;RD$&quot;\ #,##0.00;\(&quot;RD$&quot;\ #,##0.00\);&quot;-&quot;"/>
    <numFmt numFmtId="201" formatCode="_(* #,##0.0000_);_(* \(#,##0.0000\);_(* &quot;-&quot;??_);_(@_)"/>
    <numFmt numFmtId="202" formatCode="_-* #,##0.0000_-;\-* #,##0.0000_-;_-* &quot;-&quot;????_-;_-@_-"/>
    <numFmt numFmtId="203" formatCode="_-* #,##0.0_-;\-* #,##0.0_-;_-* &quot;-&quot;??_-;_-@_-"/>
    <numFmt numFmtId="204" formatCode="_-* #,##0_-;\-* #,##0_-;_-* &quot;-&quot;??_-;_-@_-"/>
    <numFmt numFmtId="205" formatCode="#,##0_ ;\-#,##0\ "/>
    <numFmt numFmtId="206" formatCode="_-* #,##0.000_-;\-* #,##0.000_-;_-* &quot;-&quot;???_-;_-@_-"/>
    <numFmt numFmtId="207" formatCode="_-* #,##0.000_-;\-* #,##0.000_-;_-* &quot;-&quot;??_-;_-@_-"/>
    <numFmt numFmtId="208" formatCode="_-* #,##0.0000_-;\-* #,##0.0000_-;_-* &quot;-&quot;??_-;_-@_-"/>
    <numFmt numFmtId="209" formatCode="[$-1C0A]dddd\,\ d\ &quot;de&quot;\ mmmm\ &quot;de&quot;\ yyyy"/>
    <numFmt numFmtId="210" formatCode="_-* #,##0.00\ [$€-C0A]_-;\-* #,##0.00\ [$€-C0A]_-;_-* &quot;-&quot;??\ [$€-C0A]_-;_-@_-"/>
    <numFmt numFmtId="211" formatCode="_([$€-2]\ * #,##0.00_);_([$€-2]\ * \(#,##0.00\);_([$€-2]\ * &quot;-&quot;??_);_(@_)"/>
    <numFmt numFmtId="212" formatCode="_([$$-1C0A]* #,##0.00_);_([$$-1C0A]* \(#,##0.00\);_([$$-1C0A]* &quot;-&quot;??_);_(@_)"/>
    <numFmt numFmtId="213" formatCode="_-[$£-809]* #,##0.00_-;\-[$£-809]* #,##0.00_-;_-[$£-809]* &quot;-&quot;??_-;_-@_-"/>
  </numFmts>
  <fonts count="117">
    <font>
      <sz val="10"/>
      <name val="Arial"/>
      <family val="0"/>
    </font>
    <font>
      <sz val="9"/>
      <color indexed="8"/>
      <name val="Arial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Arial"/>
      <family val="2"/>
    </font>
    <font>
      <sz val="9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 val="singleAccounting"/>
      <sz val="10"/>
      <name val="Arial"/>
      <family val="2"/>
    </font>
    <font>
      <sz val="10"/>
      <name val="Arial Narrow"/>
      <family val="2"/>
    </font>
    <font>
      <sz val="10"/>
      <color indexed="63"/>
      <name val="Arial Narrow"/>
      <family val="2"/>
    </font>
    <font>
      <u val="singleAccounting"/>
      <sz val="8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u val="singleAccounting"/>
      <sz val="9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Aharoni"/>
      <family val="0"/>
    </font>
    <font>
      <sz val="8"/>
      <color indexed="8"/>
      <name val="Arial"/>
      <family val="2"/>
    </font>
    <font>
      <b/>
      <sz val="11"/>
      <name val="Aharoni"/>
      <family val="0"/>
    </font>
    <font>
      <sz val="11"/>
      <name val="Calibri"/>
      <family val="2"/>
    </font>
    <font>
      <b/>
      <sz val="11"/>
      <name val="Calibri"/>
      <family val="2"/>
    </font>
    <font>
      <sz val="14"/>
      <name val="Arial"/>
      <family val="2"/>
    </font>
    <font>
      <b/>
      <u val="singleAccounting"/>
      <sz val="10"/>
      <name val="Arial"/>
      <family val="2"/>
    </font>
    <font>
      <b/>
      <u val="single"/>
      <sz val="10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u val="singleAccounting"/>
      <sz val="11"/>
      <name val="Calibri"/>
      <family val="2"/>
    </font>
    <font>
      <u val="singleAccounting"/>
      <sz val="8"/>
      <name val="Arial"/>
      <family val="2"/>
    </font>
    <font>
      <b/>
      <sz val="8"/>
      <color indexed="8"/>
      <name val="Arial"/>
      <family val="2"/>
    </font>
    <font>
      <u val="singleAccounting"/>
      <sz val="9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Arial"/>
      <family val="2"/>
    </font>
    <font>
      <sz val="10"/>
      <color indexed="63"/>
      <name val="Tahoma"/>
      <family val="2"/>
    </font>
    <font>
      <u val="single"/>
      <sz val="10"/>
      <color indexed="63"/>
      <name val="Tahoma"/>
      <family val="2"/>
    </font>
    <font>
      <b/>
      <sz val="10"/>
      <color indexed="63"/>
      <name val="Tahoma"/>
      <family val="2"/>
    </font>
    <font>
      <sz val="10"/>
      <color indexed="10"/>
      <name val="Times New Roman"/>
      <family val="1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44"/>
      <name val="Arial"/>
      <family val="2"/>
    </font>
    <font>
      <sz val="10"/>
      <color indexed="62"/>
      <name val="Arial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u val="single"/>
      <sz val="8"/>
      <name val="Calibri"/>
      <family val="2"/>
    </font>
    <font>
      <u val="singleAccounting"/>
      <sz val="8"/>
      <name val="Calibri"/>
      <family val="2"/>
    </font>
    <font>
      <sz val="8"/>
      <color indexed="8"/>
      <name val="Calibri"/>
      <family val="2"/>
    </font>
    <font>
      <b/>
      <i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0"/>
      <color rgb="FFFF0000"/>
      <name val="Arial"/>
      <family val="2"/>
    </font>
    <font>
      <sz val="10"/>
      <color rgb="FF4D4D4D"/>
      <name val="Tahoma"/>
      <family val="2"/>
    </font>
    <font>
      <u val="single"/>
      <sz val="10"/>
      <color rgb="FF4D4D4D"/>
      <name val="Tahoma"/>
      <family val="2"/>
    </font>
    <font>
      <b/>
      <sz val="10"/>
      <color rgb="FF4D4D4D"/>
      <name val="Tahoma"/>
      <family val="2"/>
    </font>
    <font>
      <sz val="10"/>
      <color rgb="FFFF0000"/>
      <name val="Times New Roman"/>
      <family val="1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theme="3" tint="0.5999900102615356"/>
      <name val="Arial"/>
      <family val="2"/>
    </font>
    <font>
      <sz val="10"/>
      <color theme="4" tint="-0.24997000396251678"/>
      <name val="Arial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99FFCC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/>
      <bottom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/>
    </border>
    <border>
      <left>
        <color indexed="63"/>
      </left>
      <right style="thin"/>
      <top>
        <color indexed="63"/>
      </top>
      <bottom style="thin"/>
    </border>
    <border>
      <left/>
      <right style="thin">
        <color rgb="FFE5E5E5"/>
      </right>
      <top style="thin">
        <color rgb="FFE5E5E5"/>
      </top>
      <bottom style="thin">
        <color rgb="FFE5E5E5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91" fillId="28" borderId="0" applyNumberFormat="0" applyBorder="0" applyAlignment="0" applyProtection="0"/>
    <xf numFmtId="0" fontId="91" fillId="29" borderId="0" applyNumberFormat="0" applyBorder="0" applyAlignment="0" applyProtection="0"/>
    <xf numFmtId="0" fontId="91" fillId="30" borderId="0" applyNumberFormat="0" applyBorder="0" applyAlignment="0" applyProtection="0"/>
    <xf numFmtId="0" fontId="91" fillId="31" borderId="0" applyNumberFormat="0" applyBorder="0" applyAlignment="0" applyProtection="0"/>
    <xf numFmtId="0" fontId="91" fillId="32" borderId="0" applyNumberFormat="0" applyBorder="0" applyAlignment="0" applyProtection="0"/>
    <xf numFmtId="0" fontId="91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7" fillId="3" borderId="0" applyNumberFormat="0" applyBorder="0" applyAlignment="0" applyProtection="0"/>
    <xf numFmtId="0" fontId="92" fillId="38" borderId="0" applyNumberFormat="0" applyBorder="0" applyAlignment="0" applyProtection="0"/>
    <xf numFmtId="0" fontId="8" fillId="39" borderId="1" applyNumberFormat="0" applyAlignment="0" applyProtection="0"/>
    <xf numFmtId="0" fontId="93" fillId="40" borderId="2" applyNumberFormat="0" applyAlignment="0" applyProtection="0"/>
    <xf numFmtId="0" fontId="94" fillId="41" borderId="3" applyNumberFormat="0" applyAlignment="0" applyProtection="0"/>
    <xf numFmtId="0" fontId="95" fillId="0" borderId="4" applyNumberFormat="0" applyFill="0" applyAlignment="0" applyProtection="0"/>
    <xf numFmtId="0" fontId="9" fillId="42" borderId="5" applyNumberFormat="0" applyAlignment="0" applyProtection="0"/>
    <xf numFmtId="0" fontId="96" fillId="0" borderId="6" applyNumberFormat="0" applyFill="0" applyAlignment="0" applyProtection="0"/>
    <xf numFmtId="0" fontId="97" fillId="0" borderId="0" applyNumberFormat="0" applyFill="0" applyBorder="0" applyAlignment="0" applyProtection="0"/>
    <xf numFmtId="0" fontId="91" fillId="43" borderId="0" applyNumberFormat="0" applyBorder="0" applyAlignment="0" applyProtection="0"/>
    <xf numFmtId="0" fontId="91" fillId="44" borderId="0" applyNumberFormat="0" applyBorder="0" applyAlignment="0" applyProtection="0"/>
    <xf numFmtId="0" fontId="91" fillId="45" borderId="0" applyNumberFormat="0" applyBorder="0" applyAlignment="0" applyProtection="0"/>
    <xf numFmtId="0" fontId="91" fillId="46" borderId="0" applyNumberFormat="0" applyBorder="0" applyAlignment="0" applyProtection="0"/>
    <xf numFmtId="0" fontId="91" fillId="47" borderId="0" applyNumberFormat="0" applyBorder="0" applyAlignment="0" applyProtection="0"/>
    <xf numFmtId="0" fontId="91" fillId="48" borderId="0" applyNumberFormat="0" applyBorder="0" applyAlignment="0" applyProtection="0"/>
    <xf numFmtId="0" fontId="98" fillId="49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9" fillId="50" borderId="0" applyNumberFormat="0" applyBorder="0" applyAlignment="0" applyProtection="0"/>
    <xf numFmtId="0" fontId="15" fillId="7" borderId="1" applyNumberFormat="0" applyAlignment="0" applyProtection="0"/>
    <xf numFmtId="0" fontId="16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51" borderId="0" applyNumberFormat="0" applyBorder="0" applyAlignment="0" applyProtection="0"/>
    <xf numFmtId="0" fontId="0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18" fillId="39" borderId="13" applyNumberFormat="0" applyAlignment="0" applyProtection="0"/>
    <xf numFmtId="9" fontId="0" fillId="0" borderId="0" applyFont="0" applyFill="0" applyBorder="0" applyAlignment="0" applyProtection="0"/>
    <xf numFmtId="0" fontId="100" fillId="40" borderId="14" applyNumberFormat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15" applyNumberFormat="0" applyFill="0" applyAlignment="0" applyProtection="0"/>
    <xf numFmtId="0" fontId="97" fillId="0" borderId="16" applyNumberFormat="0" applyFill="0" applyAlignment="0" applyProtection="0"/>
    <xf numFmtId="0" fontId="20" fillId="0" borderId="17" applyNumberFormat="0" applyFill="0" applyAlignment="0" applyProtection="0"/>
    <xf numFmtId="0" fontId="21" fillId="0" borderId="0" applyNumberFormat="0" applyFill="0" applyBorder="0" applyAlignment="0" applyProtection="0"/>
  </cellStyleXfs>
  <cellXfs count="758">
    <xf numFmtId="0" fontId="0" fillId="0" borderId="0" xfId="0" applyAlignment="1">
      <alignment/>
    </xf>
    <xf numFmtId="0" fontId="23" fillId="0" borderId="0" xfId="0" applyFont="1" applyAlignment="1">
      <alignment/>
    </xf>
    <xf numFmtId="43" fontId="0" fillId="0" borderId="0" xfId="84" applyAlignment="1">
      <alignment/>
    </xf>
    <xf numFmtId="43" fontId="25" fillId="0" borderId="0" xfId="84" applyFont="1" applyAlignment="1">
      <alignment/>
    </xf>
    <xf numFmtId="0" fontId="28" fillId="0" borderId="0" xfId="0" applyFont="1" applyFill="1" applyAlignment="1">
      <alignment/>
    </xf>
    <xf numFmtId="0" fontId="22" fillId="0" borderId="0" xfId="0" applyFont="1" applyFill="1" applyAlignment="1">
      <alignment/>
    </xf>
    <xf numFmtId="43" fontId="29" fillId="0" borderId="0" xfId="84" applyFont="1" applyFill="1" applyBorder="1" applyAlignment="1">
      <alignment/>
    </xf>
    <xf numFmtId="43" fontId="0" fillId="0" borderId="0" xfId="84" applyFont="1" applyAlignment="1">
      <alignment/>
    </xf>
    <xf numFmtId="49" fontId="1" fillId="0" borderId="18" xfId="0" applyNumberFormat="1" applyFont="1" applyBorder="1" applyAlignment="1">
      <alignment horizontal="left"/>
    </xf>
    <xf numFmtId="0" fontId="2" fillId="39" borderId="19" xfId="0" applyNumberFormat="1" applyFont="1" applyFill="1" applyBorder="1" applyAlignment="1">
      <alignment horizontal="left"/>
    </xf>
    <xf numFmtId="43" fontId="0" fillId="0" borderId="18" xfId="84" applyFont="1" applyBorder="1" applyAlignment="1">
      <alignment/>
    </xf>
    <xf numFmtId="43" fontId="26" fillId="0" borderId="18" xfId="84" applyFont="1" applyBorder="1" applyAlignment="1">
      <alignment/>
    </xf>
    <xf numFmtId="0" fontId="0" fillId="0" borderId="0" xfId="0" applyFill="1" applyAlignment="1">
      <alignment/>
    </xf>
    <xf numFmtId="43" fontId="0" fillId="0" borderId="0" xfId="0" applyNumberFormat="1" applyAlignment="1">
      <alignment/>
    </xf>
    <xf numFmtId="49" fontId="1" fillId="0" borderId="18" xfId="0" applyNumberFormat="1" applyFont="1" applyFill="1" applyBorder="1" applyAlignment="1">
      <alignment horizontal="left"/>
    </xf>
    <xf numFmtId="43" fontId="0" fillId="0" borderId="18" xfId="84" applyFont="1" applyFill="1" applyBorder="1" applyAlignment="1">
      <alignment/>
    </xf>
    <xf numFmtId="0" fontId="0" fillId="0" borderId="18" xfId="0" applyFill="1" applyBorder="1" applyAlignment="1">
      <alignment/>
    </xf>
    <xf numFmtId="197" fontId="23" fillId="0" borderId="0" xfId="84" applyNumberFormat="1" applyFont="1" applyAlignment="1" quotePrefix="1">
      <alignment horizontal="center"/>
    </xf>
    <xf numFmtId="43" fontId="2" fillId="39" borderId="20" xfId="84" applyFont="1" applyFill="1" applyBorder="1" applyAlignment="1">
      <alignment horizontal="center" wrapText="1"/>
    </xf>
    <xf numFmtId="43" fontId="0" fillId="0" borderId="18" xfId="84" applyFont="1" applyBorder="1" applyAlignment="1">
      <alignment/>
    </xf>
    <xf numFmtId="43" fontId="29" fillId="0" borderId="0" xfId="84" applyFont="1" applyFill="1" applyAlignment="1">
      <alignment horizontal="center"/>
    </xf>
    <xf numFmtId="43" fontId="29" fillId="0" borderId="0" xfId="84" applyFont="1" applyFill="1" applyAlignment="1">
      <alignment/>
    </xf>
    <xf numFmtId="43" fontId="29" fillId="0" borderId="21" xfId="84" applyFont="1" applyFill="1" applyBorder="1" applyAlignment="1">
      <alignment/>
    </xf>
    <xf numFmtId="43" fontId="28" fillId="0" borderId="0" xfId="84" applyFont="1" applyFill="1" applyBorder="1" applyAlignment="1">
      <alignment/>
    </xf>
    <xf numFmtId="43" fontId="31" fillId="0" borderId="0" xfId="84" applyFont="1" applyFill="1" applyAlignment="1">
      <alignment/>
    </xf>
    <xf numFmtId="43" fontId="22" fillId="0" borderId="0" xfId="84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39" fontId="22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4" fontId="32" fillId="0" borderId="0" xfId="0" applyNumberFormat="1" applyFont="1" applyFill="1" applyAlignment="1">
      <alignment/>
    </xf>
    <xf numFmtId="49" fontId="33" fillId="0" borderId="0" xfId="0" applyNumberFormat="1" applyFont="1" applyFill="1" applyAlignment="1">
      <alignment horizontal="left"/>
    </xf>
    <xf numFmtId="43" fontId="33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43" fontId="23" fillId="0" borderId="0" xfId="84" applyFont="1" applyAlignment="1">
      <alignment horizontal="right"/>
    </xf>
    <xf numFmtId="43" fontId="0" fillId="0" borderId="0" xfId="84" applyBorder="1" applyAlignment="1">
      <alignment/>
    </xf>
    <xf numFmtId="49" fontId="1" fillId="0" borderId="0" xfId="0" applyNumberFormat="1" applyFont="1" applyAlignment="1">
      <alignment horizontal="left"/>
    </xf>
    <xf numFmtId="43" fontId="1" fillId="0" borderId="0" xfId="0" applyNumberFormat="1" applyFont="1" applyAlignment="1">
      <alignment horizontal="right"/>
    </xf>
    <xf numFmtId="49" fontId="1" fillId="0" borderId="0" xfId="0" applyNumberFormat="1" applyFont="1" applyFill="1" applyAlignment="1">
      <alignment horizontal="left"/>
    </xf>
    <xf numFmtId="43" fontId="34" fillId="0" borderId="0" xfId="84" applyFont="1" applyFill="1" applyAlignment="1">
      <alignment/>
    </xf>
    <xf numFmtId="43" fontId="22" fillId="0" borderId="0" xfId="0" applyNumberFormat="1" applyFont="1" applyFill="1" applyAlignment="1">
      <alignment/>
    </xf>
    <xf numFmtId="43" fontId="0" fillId="0" borderId="21" xfId="84" applyBorder="1" applyAlignment="1">
      <alignment/>
    </xf>
    <xf numFmtId="43" fontId="23" fillId="0" borderId="22" xfId="84" applyFont="1" applyBorder="1" applyAlignment="1">
      <alignment/>
    </xf>
    <xf numFmtId="43" fontId="0" fillId="0" borderId="23" xfId="84" applyFont="1" applyFill="1" applyBorder="1" applyAlignment="1">
      <alignment/>
    </xf>
    <xf numFmtId="43" fontId="1" fillId="0" borderId="18" xfId="0" applyNumberFormat="1" applyFont="1" applyBorder="1" applyAlignment="1">
      <alignment horizontal="right"/>
    </xf>
    <xf numFmtId="43" fontId="1" fillId="0" borderId="0" xfId="0" applyNumberFormat="1" applyFont="1" applyBorder="1" applyAlignment="1">
      <alignment horizontal="right"/>
    </xf>
    <xf numFmtId="43" fontId="1" fillId="0" borderId="18" xfId="0" applyNumberFormat="1" applyFont="1" applyFill="1" applyBorder="1" applyAlignment="1">
      <alignment horizontal="right"/>
    </xf>
    <xf numFmtId="0" fontId="28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18" xfId="0" applyFont="1" applyFill="1" applyBorder="1" applyAlignment="1">
      <alignment/>
    </xf>
    <xf numFmtId="0" fontId="22" fillId="0" borderId="18" xfId="0" applyFont="1" applyFill="1" applyBorder="1" applyAlignment="1">
      <alignment/>
    </xf>
    <xf numFmtId="0" fontId="29" fillId="0" borderId="18" xfId="0" applyFont="1" applyFill="1" applyBorder="1" applyAlignment="1">
      <alignment/>
    </xf>
    <xf numFmtId="43" fontId="22" fillId="0" borderId="18" xfId="84" applyFont="1" applyFill="1" applyBorder="1" applyAlignment="1">
      <alignment/>
    </xf>
    <xf numFmtId="43" fontId="31" fillId="0" borderId="18" xfId="84" applyFont="1" applyFill="1" applyBorder="1" applyAlignment="1">
      <alignment/>
    </xf>
    <xf numFmtId="43" fontId="31" fillId="0" borderId="18" xfId="0" applyNumberFormat="1" applyFont="1" applyFill="1" applyBorder="1" applyAlignment="1">
      <alignment/>
    </xf>
    <xf numFmtId="0" fontId="0" fillId="0" borderId="18" xfId="0" applyBorder="1" applyAlignment="1">
      <alignment/>
    </xf>
    <xf numFmtId="14" fontId="22" fillId="0" borderId="18" xfId="0" applyNumberFormat="1" applyFont="1" applyFill="1" applyBorder="1" applyAlignment="1">
      <alignment horizontal="right"/>
    </xf>
    <xf numFmtId="0" fontId="22" fillId="0" borderId="18" xfId="0" applyFont="1" applyFill="1" applyBorder="1" applyAlignment="1">
      <alignment horizontal="right"/>
    </xf>
    <xf numFmtId="43" fontId="22" fillId="0" borderId="18" xfId="0" applyNumberFormat="1" applyFont="1" applyFill="1" applyBorder="1" applyAlignment="1">
      <alignment/>
    </xf>
    <xf numFmtId="43" fontId="31" fillId="0" borderId="24" xfId="0" applyNumberFormat="1" applyFont="1" applyFill="1" applyBorder="1" applyAlignment="1">
      <alignment/>
    </xf>
    <xf numFmtId="0" fontId="28" fillId="0" borderId="25" xfId="0" applyFont="1" applyFill="1" applyBorder="1" applyAlignment="1">
      <alignment/>
    </xf>
    <xf numFmtId="0" fontId="22" fillId="0" borderId="25" xfId="0" applyFont="1" applyFill="1" applyBorder="1" applyAlignment="1">
      <alignment/>
    </xf>
    <xf numFmtId="0" fontId="28" fillId="0" borderId="26" xfId="0" applyFont="1" applyFill="1" applyBorder="1" applyAlignment="1">
      <alignment/>
    </xf>
    <xf numFmtId="0" fontId="28" fillId="0" borderId="27" xfId="0" applyFont="1" applyFill="1" applyBorder="1" applyAlignment="1">
      <alignment horizontal="center"/>
    </xf>
    <xf numFmtId="43" fontId="29" fillId="0" borderId="18" xfId="84" applyFont="1" applyFill="1" applyBorder="1" applyAlignment="1">
      <alignment/>
    </xf>
    <xf numFmtId="14" fontId="29" fillId="0" borderId="18" xfId="0" applyNumberFormat="1" applyFont="1" applyFill="1" applyBorder="1" applyAlignment="1">
      <alignment/>
    </xf>
    <xf numFmtId="14" fontId="29" fillId="0" borderId="18" xfId="0" applyNumberFormat="1" applyFont="1" applyFill="1" applyBorder="1" applyAlignment="1">
      <alignment horizontal="right"/>
    </xf>
    <xf numFmtId="43" fontId="28" fillId="0" borderId="0" xfId="0" applyNumberFormat="1" applyFont="1" applyFill="1" applyAlignment="1">
      <alignment/>
    </xf>
    <xf numFmtId="0" fontId="28" fillId="0" borderId="28" xfId="0" applyFont="1" applyFill="1" applyBorder="1" applyAlignment="1">
      <alignment horizontal="center" wrapText="1"/>
    </xf>
    <xf numFmtId="0" fontId="28" fillId="0" borderId="29" xfId="0" applyFont="1" applyFill="1" applyBorder="1" applyAlignment="1">
      <alignment horizontal="center" wrapText="1"/>
    </xf>
    <xf numFmtId="0" fontId="29" fillId="0" borderId="25" xfId="0" applyFont="1" applyFill="1" applyBorder="1" applyAlignment="1">
      <alignment/>
    </xf>
    <xf numFmtId="0" fontId="30" fillId="0" borderId="25" xfId="0" applyFont="1" applyFill="1" applyBorder="1" applyAlignment="1">
      <alignment/>
    </xf>
    <xf numFmtId="0" fontId="30" fillId="0" borderId="18" xfId="0" applyFont="1" applyFill="1" applyBorder="1" applyAlignment="1">
      <alignment/>
    </xf>
    <xf numFmtId="43" fontId="22" fillId="0" borderId="25" xfId="84" applyFont="1" applyFill="1" applyBorder="1" applyAlignment="1">
      <alignment/>
    </xf>
    <xf numFmtId="43" fontId="31" fillId="0" borderId="25" xfId="0" applyNumberFormat="1" applyFont="1" applyFill="1" applyBorder="1" applyAlignment="1">
      <alignment/>
    </xf>
    <xf numFmtId="0" fontId="31" fillId="0" borderId="25" xfId="0" applyFont="1" applyFill="1" applyBorder="1" applyAlignment="1">
      <alignment/>
    </xf>
    <xf numFmtId="0" fontId="36" fillId="0" borderId="0" xfId="0" applyFont="1" applyAlignment="1">
      <alignment horizontal="justify"/>
    </xf>
    <xf numFmtId="43" fontId="37" fillId="0" borderId="18" xfId="84" applyFont="1" applyFill="1" applyBorder="1" applyAlignment="1">
      <alignment/>
    </xf>
    <xf numFmtId="171" fontId="22" fillId="0" borderId="0" xfId="0" applyNumberFormat="1" applyFont="1" applyFill="1" applyAlignment="1">
      <alignment/>
    </xf>
    <xf numFmtId="49" fontId="39" fillId="0" borderId="23" xfId="0" applyNumberFormat="1" applyFont="1" applyBorder="1" applyAlignment="1">
      <alignment horizontal="left"/>
    </xf>
    <xf numFmtId="49" fontId="39" fillId="0" borderId="18" xfId="0" applyNumberFormat="1" applyFont="1" applyBorder="1" applyAlignment="1">
      <alignment horizontal="left"/>
    </xf>
    <xf numFmtId="0" fontId="23" fillId="0" borderId="0" xfId="84" applyNumberFormat="1" applyFont="1" applyAlignment="1" quotePrefix="1">
      <alignment horizontal="center"/>
    </xf>
    <xf numFmtId="43" fontId="1" fillId="0" borderId="30" xfId="0" applyNumberFormat="1" applyFont="1" applyBorder="1" applyAlignment="1">
      <alignment horizontal="right"/>
    </xf>
    <xf numFmtId="43" fontId="0" fillId="0" borderId="31" xfId="84" applyFont="1" applyFill="1" applyBorder="1" applyAlignment="1">
      <alignment/>
    </xf>
    <xf numFmtId="43" fontId="0" fillId="0" borderId="30" xfId="84" applyFont="1" applyBorder="1" applyAlignment="1">
      <alignment/>
    </xf>
    <xf numFmtId="43" fontId="26" fillId="0" borderId="30" xfId="84" applyFont="1" applyBorder="1" applyAlignment="1">
      <alignment/>
    </xf>
    <xf numFmtId="43" fontId="1" fillId="0" borderId="23" xfId="84" applyFont="1" applyBorder="1" applyAlignment="1">
      <alignment horizontal="left"/>
    </xf>
    <xf numFmtId="43" fontId="1" fillId="0" borderId="18" xfId="84" applyFont="1" applyBorder="1" applyAlignment="1">
      <alignment horizontal="left"/>
    </xf>
    <xf numFmtId="43" fontId="24" fillId="0" borderId="23" xfId="84" applyFont="1" applyFill="1" applyBorder="1" applyAlignment="1">
      <alignment horizontal="center"/>
    </xf>
    <xf numFmtId="171" fontId="0" fillId="0" borderId="18" xfId="0" applyNumberFormat="1" applyFill="1" applyBorder="1" applyAlignment="1">
      <alignment/>
    </xf>
    <xf numFmtId="0" fontId="23" fillId="54" borderId="19" xfId="0" applyFont="1" applyFill="1" applyBorder="1" applyAlignment="1">
      <alignment/>
    </xf>
    <xf numFmtId="0" fontId="2" fillId="54" borderId="19" xfId="0" applyNumberFormat="1" applyFont="1" applyFill="1" applyBorder="1" applyAlignment="1">
      <alignment horizontal="left"/>
    </xf>
    <xf numFmtId="43" fontId="2" fillId="54" borderId="32" xfId="84" applyFont="1" applyFill="1" applyBorder="1" applyAlignment="1">
      <alignment horizontal="center" wrapText="1"/>
    </xf>
    <xf numFmtId="49" fontId="1" fillId="0" borderId="25" xfId="0" applyNumberFormat="1" applyFont="1" applyBorder="1" applyAlignment="1">
      <alignment horizontal="left"/>
    </xf>
    <xf numFmtId="0" fontId="2" fillId="54" borderId="33" xfId="0" applyNumberFormat="1" applyFont="1" applyFill="1" applyBorder="1" applyAlignment="1">
      <alignment horizontal="center" wrapText="1"/>
    </xf>
    <xf numFmtId="49" fontId="1" fillId="0" borderId="0" xfId="0" applyNumberFormat="1" applyFont="1" applyBorder="1" applyAlignment="1">
      <alignment horizontal="left"/>
    </xf>
    <xf numFmtId="43" fontId="28" fillId="0" borderId="18" xfId="84" applyFont="1" applyFill="1" applyBorder="1" applyAlignment="1">
      <alignment/>
    </xf>
    <xf numFmtId="14" fontId="28" fillId="0" borderId="18" xfId="0" applyNumberFormat="1" applyFont="1" applyFill="1" applyBorder="1" applyAlignment="1">
      <alignment/>
    </xf>
    <xf numFmtId="0" fontId="22" fillId="0" borderId="18" xfId="0" applyFont="1" applyFill="1" applyBorder="1" applyAlignment="1">
      <alignment/>
    </xf>
    <xf numFmtId="0" fontId="28" fillId="0" borderId="0" xfId="0" applyFont="1" applyFill="1" applyAlignment="1">
      <alignment/>
    </xf>
    <xf numFmtId="0" fontId="23" fillId="0" borderId="34" xfId="91" applyFont="1" applyBorder="1" applyAlignment="1">
      <alignment horizontal="center" wrapText="1"/>
      <protection/>
    </xf>
    <xf numFmtId="14" fontId="72" fillId="0" borderId="18" xfId="91" applyNumberFormat="1" applyFont="1" applyFill="1" applyBorder="1" applyAlignment="1">
      <alignment horizontal="left"/>
      <protection/>
    </xf>
    <xf numFmtId="0" fontId="72" fillId="0" borderId="18" xfId="91" applyFont="1" applyFill="1" applyBorder="1" applyAlignment="1">
      <alignment wrapText="1"/>
      <protection/>
    </xf>
    <xf numFmtId="0" fontId="72" fillId="0" borderId="18" xfId="91" applyFont="1" applyFill="1" applyBorder="1" applyAlignment="1">
      <alignment/>
      <protection/>
    </xf>
    <xf numFmtId="0" fontId="23" fillId="0" borderId="35" xfId="91" applyFont="1" applyBorder="1" applyAlignment="1">
      <alignment/>
      <protection/>
    </xf>
    <xf numFmtId="0" fontId="23" fillId="0" borderId="34" xfId="91" applyFont="1" applyBorder="1" applyAlignment="1">
      <alignment/>
      <protection/>
    </xf>
    <xf numFmtId="0" fontId="0" fillId="0" borderId="0" xfId="0" applyAlignment="1">
      <alignment/>
    </xf>
    <xf numFmtId="43" fontId="72" fillId="0" borderId="18" xfId="91" applyNumberFormat="1" applyFont="1" applyFill="1" applyBorder="1" applyAlignment="1">
      <alignment/>
      <protection/>
    </xf>
    <xf numFmtId="43" fontId="72" fillId="0" borderId="30" xfId="91" applyNumberFormat="1" applyFont="1" applyFill="1" applyBorder="1" applyAlignment="1">
      <alignment/>
      <protection/>
    </xf>
    <xf numFmtId="43" fontId="72" fillId="0" borderId="18" xfId="84" applyFont="1" applyBorder="1" applyAlignment="1">
      <alignment/>
    </xf>
    <xf numFmtId="0" fontId="73" fillId="0" borderId="0" xfId="0" applyFont="1" applyAlignment="1">
      <alignment/>
    </xf>
    <xf numFmtId="0" fontId="23" fillId="0" borderId="36" xfId="0" applyFont="1" applyBorder="1" applyAlignment="1">
      <alignment/>
    </xf>
    <xf numFmtId="0" fontId="23" fillId="0" borderId="37" xfId="0" applyFont="1" applyBorder="1" applyAlignment="1">
      <alignment/>
    </xf>
    <xf numFmtId="171" fontId="0" fillId="0" borderId="18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3" fillId="0" borderId="0" xfId="0" applyFont="1" applyBorder="1" applyAlignment="1">
      <alignment/>
    </xf>
    <xf numFmtId="43" fontId="23" fillId="0" borderId="0" xfId="84" applyFont="1" applyBorder="1" applyAlignment="1">
      <alignment/>
    </xf>
    <xf numFmtId="171" fontId="0" fillId="0" borderId="0" xfId="0" applyNumberFormat="1" applyAlignment="1">
      <alignment/>
    </xf>
    <xf numFmtId="43" fontId="105" fillId="0" borderId="0" xfId="84" applyFont="1" applyAlignment="1">
      <alignment/>
    </xf>
    <xf numFmtId="43" fontId="72" fillId="0" borderId="18" xfId="84" applyFont="1" applyBorder="1" applyAlignment="1">
      <alignment/>
    </xf>
    <xf numFmtId="171" fontId="0" fillId="0" borderId="0" xfId="0" applyNumberFormat="1" applyBorder="1" applyAlignment="1">
      <alignment/>
    </xf>
    <xf numFmtId="0" fontId="0" fillId="0" borderId="25" xfId="0" applyBorder="1" applyAlignment="1">
      <alignment/>
    </xf>
    <xf numFmtId="171" fontId="72" fillId="0" borderId="18" xfId="91" applyNumberFormat="1" applyFont="1" applyBorder="1" applyAlignment="1">
      <alignment/>
      <protection/>
    </xf>
    <xf numFmtId="0" fontId="35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justify" wrapText="1"/>
    </xf>
    <xf numFmtId="4" fontId="34" fillId="0" borderId="0" xfId="0" applyNumberFormat="1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5" fillId="0" borderId="0" xfId="0" applyFont="1" applyBorder="1" applyAlignment="1">
      <alignment horizontal="justify" wrapText="1"/>
    </xf>
    <xf numFmtId="4" fontId="35" fillId="0" borderId="0" xfId="0" applyNumberFormat="1" applyFont="1" applyBorder="1" applyAlignment="1">
      <alignment horizontal="right"/>
    </xf>
    <xf numFmtId="0" fontId="22" fillId="0" borderId="20" xfId="0" applyFont="1" applyFill="1" applyBorder="1" applyAlignment="1">
      <alignment/>
    </xf>
    <xf numFmtId="43" fontId="22" fillId="0" borderId="20" xfId="84" applyFont="1" applyFill="1" applyBorder="1" applyAlignment="1">
      <alignment/>
    </xf>
    <xf numFmtId="43" fontId="37" fillId="0" borderId="25" xfId="84" applyFont="1" applyFill="1" applyBorder="1" applyAlignment="1">
      <alignment/>
    </xf>
    <xf numFmtId="43" fontId="38" fillId="0" borderId="25" xfId="84" applyFont="1" applyFill="1" applyBorder="1" applyAlignment="1">
      <alignment/>
    </xf>
    <xf numFmtId="0" fontId="31" fillId="0" borderId="26" xfId="0" applyFont="1" applyFill="1" applyBorder="1" applyAlignment="1">
      <alignment/>
    </xf>
    <xf numFmtId="43" fontId="38" fillId="0" borderId="28" xfId="84" applyFont="1" applyFill="1" applyBorder="1" applyAlignment="1">
      <alignment/>
    </xf>
    <xf numFmtId="43" fontId="37" fillId="0" borderId="27" xfId="84" applyFont="1" applyFill="1" applyBorder="1" applyAlignment="1">
      <alignment/>
    </xf>
    <xf numFmtId="43" fontId="31" fillId="0" borderId="28" xfId="84" applyFont="1" applyFill="1" applyBorder="1" applyAlignment="1">
      <alignment/>
    </xf>
    <xf numFmtId="43" fontId="22" fillId="0" borderId="28" xfId="84" applyFont="1" applyFill="1" applyBorder="1" applyAlignment="1">
      <alignment/>
    </xf>
    <xf numFmtId="43" fontId="31" fillId="0" borderId="27" xfId="84" applyFont="1" applyFill="1" applyBorder="1" applyAlignment="1">
      <alignment/>
    </xf>
    <xf numFmtId="0" fontId="31" fillId="0" borderId="38" xfId="0" applyFont="1" applyFill="1" applyBorder="1" applyAlignment="1">
      <alignment/>
    </xf>
    <xf numFmtId="43" fontId="37" fillId="0" borderId="38" xfId="84" applyFont="1" applyFill="1" applyBorder="1" applyAlignment="1">
      <alignment/>
    </xf>
    <xf numFmtId="43" fontId="38" fillId="0" borderId="38" xfId="84" applyFont="1" applyFill="1" applyBorder="1" applyAlignment="1">
      <alignment/>
    </xf>
    <xf numFmtId="0" fontId="31" fillId="0" borderId="25" xfId="0" applyFont="1" applyFill="1" applyBorder="1" applyAlignment="1">
      <alignment horizontal="center"/>
    </xf>
    <xf numFmtId="0" fontId="42" fillId="0" borderId="18" xfId="0" applyFont="1" applyBorder="1" applyAlignment="1">
      <alignment/>
    </xf>
    <xf numFmtId="43" fontId="42" fillId="0" borderId="18" xfId="86" applyFont="1" applyBorder="1" applyAlignment="1">
      <alignment/>
    </xf>
    <xf numFmtId="14" fontId="42" fillId="0" borderId="18" xfId="0" applyNumberFormat="1" applyFont="1" applyBorder="1" applyAlignment="1">
      <alignment/>
    </xf>
    <xf numFmtId="43" fontId="42" fillId="0" borderId="18" xfId="84" applyFont="1" applyBorder="1" applyAlignment="1">
      <alignment horizontal="center"/>
    </xf>
    <xf numFmtId="43" fontId="42" fillId="0" borderId="30" xfId="84" applyFont="1" applyBorder="1" applyAlignment="1">
      <alignment horizontal="center"/>
    </xf>
    <xf numFmtId="43" fontId="42" fillId="0" borderId="0" xfId="86" applyFont="1" applyBorder="1" applyAlignment="1">
      <alignment/>
    </xf>
    <xf numFmtId="0" fontId="42" fillId="0" borderId="18" xfId="0" applyFont="1" applyBorder="1" applyAlignment="1">
      <alignment horizontal="left"/>
    </xf>
    <xf numFmtId="43" fontId="0" fillId="0" borderId="0" xfId="86" applyFont="1" applyBorder="1" applyAlignment="1">
      <alignment/>
    </xf>
    <xf numFmtId="43" fontId="0" fillId="0" borderId="0" xfId="86" applyFont="1" applyBorder="1" applyAlignment="1">
      <alignment/>
    </xf>
    <xf numFmtId="0" fontId="22" fillId="0" borderId="0" xfId="0" applyFont="1" applyFill="1" applyBorder="1" applyAlignment="1">
      <alignment/>
    </xf>
    <xf numFmtId="14" fontId="42" fillId="0" borderId="18" xfId="0" applyNumberFormat="1" applyFont="1" applyBorder="1" applyAlignment="1">
      <alignment horizontal="left"/>
    </xf>
    <xf numFmtId="14" fontId="42" fillId="0" borderId="18" xfId="0" applyNumberFormat="1" applyFont="1" applyFill="1" applyBorder="1" applyAlignment="1">
      <alignment horizontal="left"/>
    </xf>
    <xf numFmtId="43" fontId="43" fillId="0" borderId="18" xfId="86" applyFont="1" applyBorder="1" applyAlignment="1">
      <alignment/>
    </xf>
    <xf numFmtId="0" fontId="22" fillId="0" borderId="20" xfId="0" applyFont="1" applyFill="1" applyBorder="1" applyAlignment="1">
      <alignment/>
    </xf>
    <xf numFmtId="43" fontId="37" fillId="0" borderId="20" xfId="84" applyFont="1" applyFill="1" applyBorder="1" applyAlignment="1">
      <alignment/>
    </xf>
    <xf numFmtId="43" fontId="22" fillId="0" borderId="20" xfId="84" applyFont="1" applyFill="1" applyBorder="1" applyAlignment="1">
      <alignment/>
    </xf>
    <xf numFmtId="43" fontId="31" fillId="0" borderId="0" xfId="0" applyNumberFormat="1" applyFont="1" applyFill="1" applyAlignment="1">
      <alignment/>
    </xf>
    <xf numFmtId="43" fontId="31" fillId="0" borderId="20" xfId="84" applyFont="1" applyFill="1" applyBorder="1" applyAlignment="1">
      <alignment/>
    </xf>
    <xf numFmtId="0" fontId="29" fillId="0" borderId="0" xfId="0" applyFont="1" applyFill="1" applyAlignment="1">
      <alignment horizontal="left"/>
    </xf>
    <xf numFmtId="43" fontId="22" fillId="0" borderId="0" xfId="84" applyFont="1" applyFill="1" applyAlignment="1">
      <alignment/>
    </xf>
    <xf numFmtId="43" fontId="44" fillId="0" borderId="0" xfId="84" applyFont="1" applyFill="1" applyAlignment="1">
      <alignment/>
    </xf>
    <xf numFmtId="0" fontId="31" fillId="0" borderId="18" xfId="0" applyFont="1" applyFill="1" applyBorder="1" applyAlignment="1">
      <alignment horizontal="center" wrapText="1"/>
    </xf>
    <xf numFmtId="43" fontId="22" fillId="0" borderId="0" xfId="84" applyFont="1" applyFill="1" applyAlignment="1">
      <alignment/>
    </xf>
    <xf numFmtId="43" fontId="45" fillId="0" borderId="30" xfId="0" applyNumberFormat="1" applyFont="1" applyBorder="1" applyAlignment="1">
      <alignment horizontal="right"/>
    </xf>
    <xf numFmtId="43" fontId="45" fillId="0" borderId="18" xfId="0" applyNumberFormat="1" applyFont="1" applyBorder="1" applyAlignment="1">
      <alignment horizontal="right"/>
    </xf>
    <xf numFmtId="0" fontId="2" fillId="54" borderId="18" xfId="0" applyNumberFormat="1" applyFont="1" applyFill="1" applyBorder="1" applyAlignment="1">
      <alignment horizontal="center" wrapText="1"/>
    </xf>
    <xf numFmtId="43" fontId="2" fillId="54" borderId="18" xfId="84" applyFont="1" applyFill="1" applyBorder="1" applyAlignment="1">
      <alignment horizontal="center" wrapText="1"/>
    </xf>
    <xf numFmtId="0" fontId="23" fillId="54" borderId="18" xfId="0" applyFont="1" applyFill="1" applyBorder="1" applyAlignment="1">
      <alignment horizontal="center"/>
    </xf>
    <xf numFmtId="0" fontId="2" fillId="54" borderId="18" xfId="0" applyNumberFormat="1" applyFont="1" applyFill="1" applyBorder="1" applyAlignment="1">
      <alignment horizontal="center"/>
    </xf>
    <xf numFmtId="43" fontId="47" fillId="0" borderId="0" xfId="84" applyFont="1" applyFill="1" applyAlignment="1">
      <alignment/>
    </xf>
    <xf numFmtId="43" fontId="22" fillId="0" borderId="38" xfId="84" applyFont="1" applyFill="1" applyBorder="1" applyAlignment="1">
      <alignment/>
    </xf>
    <xf numFmtId="43" fontId="22" fillId="0" borderId="18" xfId="84" applyFont="1" applyFill="1" applyBorder="1" applyAlignment="1">
      <alignment/>
    </xf>
    <xf numFmtId="0" fontId="22" fillId="0" borderId="30" xfId="0" applyFont="1" applyFill="1" applyBorder="1" applyAlignment="1">
      <alignment/>
    </xf>
    <xf numFmtId="43" fontId="31" fillId="0" borderId="27" xfId="0" applyNumberFormat="1" applyFont="1" applyFill="1" applyBorder="1" applyAlignment="1">
      <alignment/>
    </xf>
    <xf numFmtId="43" fontId="31" fillId="0" borderId="19" xfId="0" applyNumberFormat="1" applyFont="1" applyFill="1" applyBorder="1" applyAlignment="1">
      <alignment/>
    </xf>
    <xf numFmtId="0" fontId="22" fillId="0" borderId="39" xfId="0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43" fontId="22" fillId="0" borderId="40" xfId="0" applyNumberFormat="1" applyFont="1" applyFill="1" applyBorder="1" applyAlignment="1">
      <alignment/>
    </xf>
    <xf numFmtId="43" fontId="31" fillId="0" borderId="0" xfId="0" applyNumberFormat="1" applyFont="1" applyFill="1" applyBorder="1" applyAlignment="1">
      <alignment/>
    </xf>
    <xf numFmtId="0" fontId="31" fillId="0" borderId="35" xfId="0" applyFont="1" applyFill="1" applyBorder="1" applyAlignment="1">
      <alignment/>
    </xf>
    <xf numFmtId="0" fontId="22" fillId="0" borderId="20" xfId="0" applyFont="1" applyFill="1" applyBorder="1" applyAlignment="1">
      <alignment horizontal="right"/>
    </xf>
    <xf numFmtId="0" fontId="22" fillId="0" borderId="26" xfId="0" applyFont="1" applyFill="1" applyBorder="1" applyAlignment="1">
      <alignment/>
    </xf>
    <xf numFmtId="0" fontId="22" fillId="0" borderId="28" xfId="0" applyFont="1" applyFill="1" applyBorder="1" applyAlignment="1">
      <alignment horizontal="right"/>
    </xf>
    <xf numFmtId="0" fontId="27" fillId="0" borderId="0" xfId="0" applyFont="1" applyFill="1" applyAlignment="1">
      <alignment/>
    </xf>
    <xf numFmtId="43" fontId="28" fillId="0" borderId="0" xfId="84" applyFont="1" applyFill="1" applyAlignment="1">
      <alignment/>
    </xf>
    <xf numFmtId="43" fontId="44" fillId="0" borderId="0" xfId="84" applyFont="1" applyFill="1" applyBorder="1" applyAlignment="1">
      <alignment/>
    </xf>
    <xf numFmtId="43" fontId="29" fillId="0" borderId="41" xfId="84" applyFont="1" applyFill="1" applyBorder="1" applyAlignment="1">
      <alignment/>
    </xf>
    <xf numFmtId="43" fontId="4" fillId="0" borderId="0" xfId="84" applyFont="1" applyFill="1" applyAlignment="1" applyProtection="1" quotePrefix="1">
      <alignment horizontal="center"/>
      <protection/>
    </xf>
    <xf numFmtId="0" fontId="31" fillId="0" borderId="0" xfId="0" applyFont="1" applyFill="1" applyAlignment="1">
      <alignment/>
    </xf>
    <xf numFmtId="0" fontId="32" fillId="0" borderId="18" xfId="0" applyFont="1" applyFill="1" applyBorder="1" applyAlignment="1">
      <alignment horizontal="left"/>
    </xf>
    <xf numFmtId="0" fontId="40" fillId="0" borderId="18" xfId="0" applyFont="1" applyFill="1" applyBorder="1" applyAlignment="1">
      <alignment horizontal="left"/>
    </xf>
    <xf numFmtId="43" fontId="0" fillId="0" borderId="18" xfId="84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/>
    </xf>
    <xf numFmtId="0" fontId="0" fillId="55" borderId="0" xfId="0" applyFont="1" applyFill="1" applyAlignment="1">
      <alignment/>
    </xf>
    <xf numFmtId="0" fontId="0" fillId="55" borderId="0" xfId="0" applyFill="1" applyAlignment="1">
      <alignment/>
    </xf>
    <xf numFmtId="43" fontId="0" fillId="55" borderId="0" xfId="84" applyFont="1" applyFill="1" applyAlignment="1">
      <alignment/>
    </xf>
    <xf numFmtId="43" fontId="41" fillId="55" borderId="0" xfId="84" applyFont="1" applyFill="1" applyAlignment="1">
      <alignment/>
    </xf>
    <xf numFmtId="43" fontId="0" fillId="55" borderId="0" xfId="0" applyNumberFormat="1" applyFill="1" applyAlignment="1">
      <alignment/>
    </xf>
    <xf numFmtId="49" fontId="1" fillId="0" borderId="18" xfId="0" applyNumberFormat="1" applyFont="1" applyBorder="1" applyAlignment="1">
      <alignment horizontal="left" wrapText="1"/>
    </xf>
    <xf numFmtId="43" fontId="32" fillId="0" borderId="0" xfId="84" applyFont="1" applyFill="1" applyAlignment="1">
      <alignment/>
    </xf>
    <xf numFmtId="0" fontId="32" fillId="0" borderId="0" xfId="0" applyFont="1" applyAlignment="1">
      <alignment/>
    </xf>
    <xf numFmtId="43" fontId="29" fillId="0" borderId="18" xfId="84" applyFont="1" applyFill="1" applyBorder="1" applyAlignment="1">
      <alignment wrapText="1"/>
    </xf>
    <xf numFmtId="43" fontId="29" fillId="0" borderId="0" xfId="84" applyFont="1" applyFill="1" applyBorder="1" applyAlignment="1">
      <alignment/>
    </xf>
    <xf numFmtId="43" fontId="22" fillId="0" borderId="18" xfId="84" applyFont="1" applyBorder="1" applyAlignment="1">
      <alignment/>
    </xf>
    <xf numFmtId="0" fontId="0" fillId="0" borderId="18" xfId="0" applyBorder="1" applyAlignment="1">
      <alignment wrapText="1"/>
    </xf>
    <xf numFmtId="0" fontId="26" fillId="0" borderId="18" xfId="0" applyFont="1" applyBorder="1" applyAlignment="1">
      <alignment wrapText="1"/>
    </xf>
    <xf numFmtId="0" fontId="0" fillId="0" borderId="0" xfId="0" applyAlignment="1">
      <alignment wrapText="1"/>
    </xf>
    <xf numFmtId="0" fontId="23" fillId="0" borderId="18" xfId="0" applyFont="1" applyBorder="1" applyAlignment="1">
      <alignment wrapText="1"/>
    </xf>
    <xf numFmtId="0" fontId="0" fillId="0" borderId="18" xfId="0" applyFont="1" applyBorder="1" applyAlignment="1">
      <alignment horizontal="center" wrapText="1"/>
    </xf>
    <xf numFmtId="0" fontId="26" fillId="0" borderId="18" xfId="0" applyFont="1" applyFill="1" applyBorder="1" applyAlignment="1">
      <alignment wrapText="1"/>
    </xf>
    <xf numFmtId="0" fontId="28" fillId="0" borderId="18" xfId="0" applyFont="1" applyFill="1" applyBorder="1" applyAlignment="1">
      <alignment wrapText="1"/>
    </xf>
    <xf numFmtId="0" fontId="28" fillId="0" borderId="25" xfId="0" applyFont="1" applyFill="1" applyBorder="1" applyAlignment="1">
      <alignment wrapText="1"/>
    </xf>
    <xf numFmtId="0" fontId="0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49" fontId="24" fillId="0" borderId="0" xfId="0" applyNumberFormat="1" applyFont="1" applyBorder="1" applyAlignment="1">
      <alignment horizontal="left" wrapText="1"/>
    </xf>
    <xf numFmtId="43" fontId="29" fillId="0" borderId="0" xfId="84" applyFont="1" applyFill="1" applyBorder="1" applyAlignment="1">
      <alignment wrapText="1"/>
    </xf>
    <xf numFmtId="0" fontId="26" fillId="0" borderId="0" xfId="0" applyFont="1" applyBorder="1" applyAlignment="1">
      <alignment wrapText="1"/>
    </xf>
    <xf numFmtId="0" fontId="29" fillId="0" borderId="0" xfId="0" applyFont="1" applyBorder="1" applyAlignment="1">
      <alignment wrapText="1"/>
    </xf>
    <xf numFmtId="0" fontId="22" fillId="0" borderId="18" xfId="0" applyFont="1" applyBorder="1" applyAlignment="1">
      <alignment wrapText="1"/>
    </xf>
    <xf numFmtId="0" fontId="22" fillId="0" borderId="18" xfId="0" applyFont="1" applyFill="1" applyBorder="1" applyAlignment="1">
      <alignment wrapText="1"/>
    </xf>
    <xf numFmtId="0" fontId="31" fillId="0" borderId="18" xfId="0" applyFont="1" applyFill="1" applyBorder="1" applyAlignment="1">
      <alignment wrapText="1"/>
    </xf>
    <xf numFmtId="43" fontId="22" fillId="0" borderId="18" xfId="84" applyFont="1" applyFill="1" applyBorder="1" applyAlignment="1">
      <alignment wrapText="1"/>
    </xf>
    <xf numFmtId="49" fontId="52" fillId="0" borderId="18" xfId="0" applyNumberFormat="1" applyFont="1" applyFill="1" applyBorder="1" applyAlignment="1">
      <alignment horizontal="left" wrapText="1"/>
    </xf>
    <xf numFmtId="171" fontId="22" fillId="0" borderId="20" xfId="0" applyNumberFormat="1" applyFont="1" applyFill="1" applyBorder="1" applyAlignment="1">
      <alignment wrapText="1"/>
    </xf>
    <xf numFmtId="1" fontId="22" fillId="0" borderId="18" xfId="0" applyNumberFormat="1" applyFont="1" applyBorder="1" applyAlignment="1">
      <alignment horizontal="left" wrapText="1"/>
    </xf>
    <xf numFmtId="43" fontId="22" fillId="0" borderId="18" xfId="84" applyFont="1" applyBorder="1" applyAlignment="1">
      <alignment wrapText="1"/>
    </xf>
    <xf numFmtId="43" fontId="31" fillId="0" borderId="18" xfId="84" applyFont="1" applyBorder="1" applyAlignment="1">
      <alignment wrapText="1"/>
    </xf>
    <xf numFmtId="49" fontId="52" fillId="0" borderId="18" xfId="0" applyNumberFormat="1" applyFont="1" applyBorder="1" applyAlignment="1">
      <alignment horizontal="left" wrapText="1"/>
    </xf>
    <xf numFmtId="49" fontId="52" fillId="0" borderId="18" xfId="0" applyNumberFormat="1" applyFont="1" applyFill="1" applyBorder="1" applyAlignment="1">
      <alignment horizontal="left"/>
    </xf>
    <xf numFmtId="0" fontId="22" fillId="0" borderId="18" xfId="0" applyFont="1" applyBorder="1" applyAlignment="1">
      <alignment/>
    </xf>
    <xf numFmtId="49" fontId="52" fillId="0" borderId="0" xfId="0" applyNumberFormat="1" applyFont="1" applyAlignment="1">
      <alignment horizontal="left"/>
    </xf>
    <xf numFmtId="0" fontId="22" fillId="0" borderId="18" xfId="0" applyFont="1" applyFill="1" applyBorder="1" applyAlignment="1">
      <alignment horizontal="left" wrapText="1"/>
    </xf>
    <xf numFmtId="0" fontId="22" fillId="0" borderId="0" xfId="0" applyFont="1" applyFill="1" applyAlignment="1">
      <alignment/>
    </xf>
    <xf numFmtId="43" fontId="32" fillId="0" borderId="18" xfId="84" applyFont="1" applyBorder="1" applyAlignment="1">
      <alignment/>
    </xf>
    <xf numFmtId="0" fontId="22" fillId="0" borderId="0" xfId="0" applyFont="1" applyFill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Alignment="1">
      <alignment/>
    </xf>
    <xf numFmtId="43" fontId="32" fillId="0" borderId="18" xfId="84" applyFont="1" applyFill="1" applyBorder="1" applyAlignment="1">
      <alignment/>
    </xf>
    <xf numFmtId="171" fontId="32" fillId="0" borderId="18" xfId="0" applyNumberFormat="1" applyFont="1" applyFill="1" applyBorder="1" applyAlignment="1">
      <alignment/>
    </xf>
    <xf numFmtId="43" fontId="0" fillId="0" borderId="18" xfId="84" applyFont="1" applyBorder="1" applyAlignment="1">
      <alignment/>
    </xf>
    <xf numFmtId="43" fontId="0" fillId="0" borderId="30" xfId="84" applyFont="1" applyBorder="1" applyAlignment="1">
      <alignment/>
    </xf>
    <xf numFmtId="43" fontId="32" fillId="0" borderId="31" xfId="84" applyFont="1" applyFill="1" applyBorder="1" applyAlignment="1">
      <alignment/>
    </xf>
    <xf numFmtId="43" fontId="26" fillId="0" borderId="30" xfId="84" applyFont="1" applyBorder="1" applyAlignment="1">
      <alignment/>
    </xf>
    <xf numFmtId="43" fontId="0" fillId="0" borderId="0" xfId="84" applyAlignment="1">
      <alignment/>
    </xf>
    <xf numFmtId="43" fontId="0" fillId="0" borderId="0" xfId="84" applyBorder="1" applyAlignment="1">
      <alignment/>
    </xf>
    <xf numFmtId="43" fontId="0" fillId="0" borderId="21" xfId="84" applyBorder="1" applyAlignment="1">
      <alignment/>
    </xf>
    <xf numFmtId="43" fontId="25" fillId="0" borderId="0" xfId="84" applyFont="1" applyAlignment="1">
      <alignment/>
    </xf>
    <xf numFmtId="43" fontId="23" fillId="0" borderId="22" xfId="84" applyFont="1" applyBorder="1" applyAlignment="1">
      <alignment/>
    </xf>
    <xf numFmtId="43" fontId="23" fillId="0" borderId="0" xfId="84" applyFont="1" applyBorder="1" applyAlignment="1">
      <alignment/>
    </xf>
    <xf numFmtId="43" fontId="28" fillId="0" borderId="0" xfId="84" applyFont="1" applyFill="1" applyBorder="1" applyAlignment="1">
      <alignment/>
    </xf>
    <xf numFmtId="43" fontId="30" fillId="0" borderId="0" xfId="84" applyFont="1" applyFill="1" applyBorder="1" applyAlignment="1">
      <alignment/>
    </xf>
    <xf numFmtId="43" fontId="0" fillId="0" borderId="0" xfId="84" applyFont="1" applyBorder="1" applyAlignment="1">
      <alignment horizontal="left"/>
    </xf>
    <xf numFmtId="43" fontId="0" fillId="0" borderId="0" xfId="84" applyFont="1" applyBorder="1" applyAlignment="1">
      <alignment horizontal="left" wrapText="1"/>
    </xf>
    <xf numFmtId="43" fontId="48" fillId="0" borderId="30" xfId="84" applyFont="1" applyBorder="1" applyAlignment="1">
      <alignment/>
    </xf>
    <xf numFmtId="0" fontId="46" fillId="0" borderId="35" xfId="0" applyFont="1" applyFill="1" applyBorder="1" applyAlignment="1">
      <alignment/>
    </xf>
    <xf numFmtId="43" fontId="46" fillId="0" borderId="42" xfId="84" applyFont="1" applyFill="1" applyBorder="1" applyAlignment="1">
      <alignment/>
    </xf>
    <xf numFmtId="0" fontId="46" fillId="0" borderId="18" xfId="0" applyFont="1" applyBorder="1" applyAlignment="1">
      <alignment/>
    </xf>
    <xf numFmtId="0" fontId="46" fillId="0" borderId="43" xfId="0" applyFont="1" applyBorder="1" applyAlignment="1">
      <alignment horizontal="center"/>
    </xf>
    <xf numFmtId="171" fontId="22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171" fontId="32" fillId="0" borderId="0" xfId="0" applyNumberFormat="1" applyFont="1" applyFill="1" applyBorder="1" applyAlignment="1">
      <alignment/>
    </xf>
    <xf numFmtId="43" fontId="0" fillId="0" borderId="0" xfId="84" applyFont="1" applyBorder="1" applyAlignment="1">
      <alignment/>
    </xf>
    <xf numFmtId="43" fontId="32" fillId="0" borderId="0" xfId="84" applyFont="1" applyBorder="1" applyAlignment="1">
      <alignment/>
    </xf>
    <xf numFmtId="0" fontId="26" fillId="0" borderId="0" xfId="0" applyFont="1" applyBorder="1" applyAlignment="1">
      <alignment/>
    </xf>
    <xf numFmtId="43" fontId="0" fillId="0" borderId="0" xfId="0" applyNumberFormat="1" applyBorder="1" applyAlignment="1">
      <alignment/>
    </xf>
    <xf numFmtId="4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3" fontId="0" fillId="0" borderId="18" xfId="84" applyFont="1" applyFill="1" applyBorder="1" applyAlignment="1">
      <alignment/>
    </xf>
    <xf numFmtId="43" fontId="0" fillId="0" borderId="0" xfId="0" applyNumberFormat="1" applyAlignment="1">
      <alignment/>
    </xf>
    <xf numFmtId="0" fontId="0" fillId="21" borderId="0" xfId="0" applyFill="1" applyAlignment="1">
      <alignment/>
    </xf>
    <xf numFmtId="0" fontId="0" fillId="21" borderId="0" xfId="0" applyFont="1" applyFill="1" applyAlignment="1">
      <alignment/>
    </xf>
    <xf numFmtId="43" fontId="0" fillId="21" borderId="0" xfId="84" applyFont="1" applyFill="1" applyAlignment="1">
      <alignment/>
    </xf>
    <xf numFmtId="43" fontId="41" fillId="21" borderId="0" xfId="84" applyFont="1" applyFill="1" applyAlignment="1">
      <alignment/>
    </xf>
    <xf numFmtId="43" fontId="26" fillId="0" borderId="18" xfId="84" applyFont="1" applyBorder="1" applyAlignment="1">
      <alignment/>
    </xf>
    <xf numFmtId="43" fontId="0" fillId="0" borderId="0" xfId="84" applyFont="1" applyBorder="1" applyAlignment="1">
      <alignment/>
    </xf>
    <xf numFmtId="171" fontId="0" fillId="0" borderId="0" xfId="0" applyNumberFormat="1" applyAlignment="1">
      <alignment/>
    </xf>
    <xf numFmtId="0" fontId="46" fillId="0" borderId="30" xfId="0" applyFont="1" applyBorder="1" applyAlignment="1">
      <alignment horizontal="center"/>
    </xf>
    <xf numFmtId="171" fontId="46" fillId="0" borderId="30" xfId="0" applyNumberFormat="1" applyFont="1" applyBorder="1" applyAlignment="1">
      <alignment/>
    </xf>
    <xf numFmtId="0" fontId="48" fillId="0" borderId="30" xfId="0" applyFont="1" applyBorder="1" applyAlignment="1">
      <alignment/>
    </xf>
    <xf numFmtId="0" fontId="48" fillId="0" borderId="44" xfId="0" applyFont="1" applyBorder="1" applyAlignment="1">
      <alignment/>
    </xf>
    <xf numFmtId="0" fontId="48" fillId="0" borderId="42" xfId="0" applyFont="1" applyBorder="1" applyAlignment="1">
      <alignment/>
    </xf>
    <xf numFmtId="0" fontId="48" fillId="0" borderId="45" xfId="0" applyFont="1" applyBorder="1" applyAlignment="1">
      <alignment/>
    </xf>
    <xf numFmtId="0" fontId="106" fillId="0" borderId="46" xfId="0" applyNumberFormat="1" applyFont="1" applyFill="1" applyBorder="1" applyAlignment="1">
      <alignment horizontal="center" vertical="top" wrapText="1" readingOrder="1"/>
    </xf>
    <xf numFmtId="200" fontId="106" fillId="0" borderId="46" xfId="0" applyNumberFormat="1" applyFont="1" applyFill="1" applyBorder="1" applyAlignment="1">
      <alignment horizontal="right" vertical="top" wrapText="1" readingOrder="1"/>
    </xf>
    <xf numFmtId="200" fontId="107" fillId="0" borderId="46" xfId="0" applyNumberFormat="1" applyFont="1" applyFill="1" applyBorder="1" applyAlignment="1">
      <alignment horizontal="right" vertical="top" wrapText="1" readingOrder="1"/>
    </xf>
    <xf numFmtId="0" fontId="54" fillId="0" borderId="0" xfId="0" applyFont="1" applyFill="1" applyBorder="1" applyAlignment="1">
      <alignment/>
    </xf>
    <xf numFmtId="43" fontId="54" fillId="0" borderId="0" xfId="84" applyFont="1" applyFill="1" applyBorder="1" applyAlignment="1">
      <alignment/>
    </xf>
    <xf numFmtId="0" fontId="23" fillId="0" borderId="33" xfId="0" applyFont="1" applyBorder="1" applyAlignment="1">
      <alignment/>
    </xf>
    <xf numFmtId="0" fontId="23" fillId="0" borderId="29" xfId="0" applyFont="1" applyBorder="1" applyAlignment="1">
      <alignment/>
    </xf>
    <xf numFmtId="200" fontId="54" fillId="0" borderId="0" xfId="0" applyNumberFormat="1" applyFont="1" applyFill="1" applyBorder="1" applyAlignment="1">
      <alignment/>
    </xf>
    <xf numFmtId="200" fontId="23" fillId="0" borderId="0" xfId="0" applyNumberFormat="1" applyFont="1" applyAlignment="1">
      <alignment/>
    </xf>
    <xf numFmtId="43" fontId="48" fillId="0" borderId="44" xfId="84" applyFont="1" applyBorder="1" applyAlignment="1">
      <alignment/>
    </xf>
    <xf numFmtId="43" fontId="48" fillId="0" borderId="30" xfId="0" applyNumberFormat="1" applyFont="1" applyBorder="1" applyAlignment="1">
      <alignment/>
    </xf>
    <xf numFmtId="171" fontId="23" fillId="0" borderId="36" xfId="0" applyNumberFormat="1" applyFont="1" applyBorder="1" applyAlignment="1">
      <alignment/>
    </xf>
    <xf numFmtId="0" fontId="46" fillId="0" borderId="47" xfId="0" applyFont="1" applyBorder="1" applyAlignment="1">
      <alignment horizontal="center"/>
    </xf>
    <xf numFmtId="0" fontId="46" fillId="0" borderId="48" xfId="0" applyFont="1" applyBorder="1" applyAlignment="1">
      <alignment wrapText="1"/>
    </xf>
    <xf numFmtId="171" fontId="48" fillId="0" borderId="45" xfId="0" applyNumberFormat="1" applyFont="1" applyBorder="1" applyAlignment="1">
      <alignment/>
    </xf>
    <xf numFmtId="171" fontId="32" fillId="0" borderId="0" xfId="0" applyNumberFormat="1" applyFont="1" applyFill="1" applyAlignment="1">
      <alignment/>
    </xf>
    <xf numFmtId="0" fontId="106" fillId="0" borderId="46" xfId="0" applyNumberFormat="1" applyFont="1" applyFill="1" applyBorder="1" applyAlignment="1">
      <alignment horizontal="center" vertical="top" wrapText="1" readingOrder="1"/>
    </xf>
    <xf numFmtId="200" fontId="106" fillId="0" borderId="46" xfId="0" applyNumberFormat="1" applyFont="1" applyFill="1" applyBorder="1" applyAlignment="1">
      <alignment horizontal="right" vertical="top" wrapText="1" readingOrder="1"/>
    </xf>
    <xf numFmtId="200" fontId="0" fillId="0" borderId="0" xfId="0" applyNumberFormat="1" applyAlignment="1">
      <alignment/>
    </xf>
    <xf numFmtId="14" fontId="72" fillId="0" borderId="18" xfId="0" applyNumberFormat="1" applyFont="1" applyBorder="1" applyAlignment="1">
      <alignment horizontal="left"/>
    </xf>
    <xf numFmtId="0" fontId="72" fillId="0" borderId="18" xfId="0" applyFont="1" applyBorder="1" applyAlignment="1">
      <alignment/>
    </xf>
    <xf numFmtId="0" fontId="72" fillId="0" borderId="18" xfId="0" applyFont="1" applyBorder="1" applyAlignment="1">
      <alignment wrapText="1"/>
    </xf>
    <xf numFmtId="171" fontId="72" fillId="0" borderId="18" xfId="0" applyNumberFormat="1" applyFont="1" applyBorder="1" applyAlignment="1">
      <alignment/>
    </xf>
    <xf numFmtId="0" fontId="73" fillId="0" borderId="36" xfId="0" applyFont="1" applyBorder="1" applyAlignment="1">
      <alignment horizontal="left"/>
    </xf>
    <xf numFmtId="0" fontId="55" fillId="0" borderId="36" xfId="0" applyFont="1" applyBorder="1" applyAlignment="1">
      <alignment horizontal="left"/>
    </xf>
    <xf numFmtId="0" fontId="54" fillId="0" borderId="36" xfId="0" applyFont="1" applyBorder="1" applyAlignment="1">
      <alignment/>
    </xf>
    <xf numFmtId="43" fontId="55" fillId="0" borderId="36" xfId="84" applyFont="1" applyBorder="1" applyAlignment="1">
      <alignment/>
    </xf>
    <xf numFmtId="0" fontId="55" fillId="0" borderId="36" xfId="0" applyFont="1" applyBorder="1" applyAlignment="1">
      <alignment/>
    </xf>
    <xf numFmtId="43" fontId="55" fillId="0" borderId="49" xfId="84" applyFont="1" applyBorder="1" applyAlignment="1">
      <alignment/>
    </xf>
    <xf numFmtId="0" fontId="46" fillId="0" borderId="35" xfId="0" applyFont="1" applyBorder="1" applyAlignment="1">
      <alignment horizontal="center"/>
    </xf>
    <xf numFmtId="0" fontId="46" fillId="0" borderId="50" xfId="0" applyFont="1" applyBorder="1" applyAlignment="1">
      <alignment horizontal="center" wrapText="1"/>
    </xf>
    <xf numFmtId="0" fontId="73" fillId="0" borderId="18" xfId="0" applyFont="1" applyBorder="1" applyAlignment="1">
      <alignment horizontal="center"/>
    </xf>
    <xf numFmtId="43" fontId="0" fillId="0" borderId="25" xfId="84" applyFont="1" applyBorder="1" applyAlignment="1">
      <alignment/>
    </xf>
    <xf numFmtId="0" fontId="46" fillId="0" borderId="45" xfId="0" applyFont="1" applyBorder="1" applyAlignment="1">
      <alignment horizontal="center"/>
    </xf>
    <xf numFmtId="43" fontId="55" fillId="0" borderId="0" xfId="84" applyFont="1" applyFill="1" applyBorder="1" applyAlignment="1">
      <alignment/>
    </xf>
    <xf numFmtId="0" fontId="106" fillId="0" borderId="0" xfId="0" applyNumberFormat="1" applyFont="1" applyFill="1" applyBorder="1" applyAlignment="1">
      <alignment horizontal="center" vertical="top" wrapText="1" readingOrder="1"/>
    </xf>
    <xf numFmtId="0" fontId="54" fillId="0" borderId="0" xfId="0" applyNumberFormat="1" applyFont="1" applyFill="1" applyBorder="1" applyAlignment="1">
      <alignment vertical="top" wrapText="1"/>
    </xf>
    <xf numFmtId="0" fontId="106" fillId="0" borderId="0" xfId="0" applyNumberFormat="1" applyFont="1" applyFill="1" applyBorder="1" applyAlignment="1">
      <alignment vertical="top" wrapText="1" readingOrder="1"/>
    </xf>
    <xf numFmtId="200" fontId="106" fillId="0" borderId="0" xfId="0" applyNumberFormat="1" applyFont="1" applyFill="1" applyBorder="1" applyAlignment="1">
      <alignment horizontal="right" vertical="top" wrapText="1" readingOrder="1"/>
    </xf>
    <xf numFmtId="200" fontId="108" fillId="0" borderId="0" xfId="0" applyNumberFormat="1" applyFont="1" applyFill="1" applyBorder="1" applyAlignment="1">
      <alignment horizontal="right" vertical="top" wrapText="1" readingOrder="1"/>
    </xf>
    <xf numFmtId="43" fontId="72" fillId="0" borderId="30" xfId="84" applyFont="1" applyBorder="1" applyAlignment="1">
      <alignment/>
    </xf>
    <xf numFmtId="0" fontId="56" fillId="0" borderId="0" xfId="0" applyFont="1" applyAlignment="1">
      <alignment/>
    </xf>
    <xf numFmtId="43" fontId="48" fillId="0" borderId="30" xfId="84" applyFont="1" applyFill="1" applyBorder="1" applyAlignment="1">
      <alignment/>
    </xf>
    <xf numFmtId="0" fontId="73" fillId="0" borderId="18" xfId="91" applyFont="1" applyBorder="1" applyAlignment="1">
      <alignment/>
      <protection/>
    </xf>
    <xf numFmtId="0" fontId="73" fillId="0" borderId="18" xfId="91" applyFont="1" applyBorder="1" applyAlignment="1">
      <alignment horizontal="center" wrapText="1"/>
      <protection/>
    </xf>
    <xf numFmtId="0" fontId="72" fillId="0" borderId="18" xfId="91" applyFont="1" applyBorder="1" applyAlignment="1">
      <alignment/>
      <protection/>
    </xf>
    <xf numFmtId="14" fontId="72" fillId="0" borderId="18" xfId="91" applyNumberFormat="1" applyFont="1" applyBorder="1" applyAlignment="1">
      <alignment horizontal="left"/>
      <protection/>
    </xf>
    <xf numFmtId="43" fontId="72" fillId="0" borderId="18" xfId="84" applyFont="1" applyBorder="1" applyAlignment="1">
      <alignment horizontal="center" wrapText="1"/>
    </xf>
    <xf numFmtId="0" fontId="29" fillId="0" borderId="18" xfId="0" applyFont="1" applyFill="1" applyBorder="1" applyAlignment="1">
      <alignment horizontal="left" wrapText="1"/>
    </xf>
    <xf numFmtId="0" fontId="26" fillId="0" borderId="18" xfId="0" applyFont="1" applyBorder="1" applyAlignment="1">
      <alignment horizontal="center" wrapText="1"/>
    </xf>
    <xf numFmtId="0" fontId="22" fillId="0" borderId="18" xfId="0" applyFont="1" applyBorder="1" applyAlignment="1">
      <alignment horizontal="center"/>
    </xf>
    <xf numFmtId="43" fontId="57" fillId="0" borderId="0" xfId="84" applyFont="1" applyAlignment="1">
      <alignment/>
    </xf>
    <xf numFmtId="43" fontId="72" fillId="0" borderId="30" xfId="84" applyFont="1" applyFill="1" applyBorder="1" applyAlignment="1">
      <alignment/>
    </xf>
    <xf numFmtId="0" fontId="72" fillId="0" borderId="18" xfId="0" applyFont="1" applyBorder="1" applyAlignment="1">
      <alignment horizontal="left"/>
    </xf>
    <xf numFmtId="43" fontId="0" fillId="0" borderId="18" xfId="0" applyNumberFormat="1" applyBorder="1" applyAlignment="1">
      <alignment/>
    </xf>
    <xf numFmtId="0" fontId="54" fillId="0" borderId="18" xfId="0" applyFont="1" applyFill="1" applyBorder="1" applyAlignment="1">
      <alignment/>
    </xf>
    <xf numFmtId="43" fontId="101" fillId="0" borderId="18" xfId="84" applyFont="1" applyFill="1" applyBorder="1" applyAlignment="1">
      <alignment/>
    </xf>
    <xf numFmtId="43" fontId="54" fillId="0" borderId="18" xfId="84" applyFont="1" applyFill="1" applyBorder="1" applyAlignment="1">
      <alignment/>
    </xf>
    <xf numFmtId="171" fontId="54" fillId="0" borderId="18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center"/>
    </xf>
    <xf numFmtId="0" fontId="54" fillId="0" borderId="23" xfId="0" applyFont="1" applyFill="1" applyBorder="1" applyAlignment="1">
      <alignment/>
    </xf>
    <xf numFmtId="0" fontId="58" fillId="0" borderId="0" xfId="0" applyFont="1" applyAlignment="1">
      <alignment/>
    </xf>
    <xf numFmtId="0" fontId="0" fillId="0" borderId="18" xfId="0" applyBorder="1" applyAlignment="1">
      <alignment horizontal="left"/>
    </xf>
    <xf numFmtId="0" fontId="54" fillId="0" borderId="18" xfId="0" applyNumberFormat="1" applyFont="1" applyFill="1" applyBorder="1" applyAlignment="1">
      <alignment vertical="top" wrapText="1"/>
    </xf>
    <xf numFmtId="171" fontId="23" fillId="0" borderId="18" xfId="0" applyNumberFormat="1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43" fontId="60" fillId="0" borderId="0" xfId="84" applyFont="1" applyAlignment="1">
      <alignment/>
    </xf>
    <xf numFmtId="0" fontId="0" fillId="0" borderId="0" xfId="0" applyFont="1" applyFill="1" applyAlignment="1">
      <alignment/>
    </xf>
    <xf numFmtId="0" fontId="0" fillId="0" borderId="35" xfId="0" applyFont="1" applyBorder="1" applyAlignment="1">
      <alignment/>
    </xf>
    <xf numFmtId="0" fontId="0" fillId="0" borderId="34" xfId="0" applyFont="1" applyBorder="1" applyAlignment="1">
      <alignment/>
    </xf>
    <xf numFmtId="0" fontId="46" fillId="0" borderId="51" xfId="0" applyFont="1" applyBorder="1" applyAlignment="1">
      <alignment horizontal="center"/>
    </xf>
    <xf numFmtId="0" fontId="0" fillId="0" borderId="50" xfId="0" applyFont="1" applyBorder="1" applyAlignment="1">
      <alignment/>
    </xf>
    <xf numFmtId="0" fontId="46" fillId="0" borderId="39" xfId="0" applyFont="1" applyBorder="1" applyAlignment="1">
      <alignment horizontal="center" wrapText="1"/>
    </xf>
    <xf numFmtId="0" fontId="46" fillId="0" borderId="48" xfId="0" applyFont="1" applyBorder="1" applyAlignment="1">
      <alignment horizontal="center" wrapText="1"/>
    </xf>
    <xf numFmtId="0" fontId="0" fillId="0" borderId="45" xfId="0" applyFont="1" applyBorder="1" applyAlignment="1">
      <alignment/>
    </xf>
    <xf numFmtId="0" fontId="0" fillId="0" borderId="30" xfId="0" applyFont="1" applyBorder="1" applyAlignment="1">
      <alignment/>
    </xf>
    <xf numFmtId="0" fontId="46" fillId="0" borderId="0" xfId="0" applyFont="1" applyFill="1" applyAlignment="1">
      <alignment/>
    </xf>
    <xf numFmtId="43" fontId="46" fillId="0" borderId="30" xfId="84" applyFont="1" applyFill="1" applyBorder="1" applyAlignment="1">
      <alignment/>
    </xf>
    <xf numFmtId="0" fontId="48" fillId="0" borderId="0" xfId="0" applyFont="1" applyFill="1" applyAlignment="1">
      <alignment/>
    </xf>
    <xf numFmtId="171" fontId="0" fillId="0" borderId="30" xfId="0" applyNumberFormat="1" applyFont="1" applyBorder="1" applyAlignment="1">
      <alignment/>
    </xf>
    <xf numFmtId="171" fontId="0" fillId="0" borderId="18" xfId="0" applyNumberFormat="1" applyFont="1" applyBorder="1" applyAlignment="1">
      <alignment/>
    </xf>
    <xf numFmtId="43" fontId="0" fillId="0" borderId="30" xfId="0" applyNumberFormat="1" applyFont="1" applyBorder="1" applyAlignment="1">
      <alignment/>
    </xf>
    <xf numFmtId="49" fontId="62" fillId="0" borderId="0" xfId="0" applyNumberFormat="1" applyFont="1" applyFill="1" applyAlignment="1">
      <alignment horizontal="left"/>
    </xf>
    <xf numFmtId="171" fontId="0" fillId="0" borderId="0" xfId="0" applyNumberFormat="1" applyFont="1" applyAlignment="1">
      <alignment/>
    </xf>
    <xf numFmtId="0" fontId="48" fillId="0" borderId="0" xfId="0" applyFont="1" applyFill="1" applyAlignment="1">
      <alignment wrapText="1"/>
    </xf>
    <xf numFmtId="43" fontId="0" fillId="0" borderId="52" xfId="84" applyFont="1" applyBorder="1" applyAlignment="1">
      <alignment/>
    </xf>
    <xf numFmtId="43" fontId="0" fillId="0" borderId="44" xfId="84" applyFont="1" applyBorder="1" applyAlignment="1">
      <alignment/>
    </xf>
    <xf numFmtId="0" fontId="0" fillId="0" borderId="44" xfId="0" applyFont="1" applyBorder="1" applyAlignment="1">
      <alignment/>
    </xf>
    <xf numFmtId="0" fontId="46" fillId="0" borderId="18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43" fontId="48" fillId="0" borderId="43" xfId="84" applyFont="1" applyFill="1" applyBorder="1" applyAlignment="1">
      <alignment/>
    </xf>
    <xf numFmtId="0" fontId="0" fillId="0" borderId="53" xfId="0" applyFont="1" applyBorder="1" applyAlignment="1">
      <alignment/>
    </xf>
    <xf numFmtId="0" fontId="23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52" xfId="0" applyFont="1" applyBorder="1" applyAlignment="1">
      <alignment/>
    </xf>
    <xf numFmtId="171" fontId="22" fillId="0" borderId="18" xfId="0" applyNumberFormat="1" applyFont="1" applyFill="1" applyBorder="1" applyAlignment="1">
      <alignment wrapText="1"/>
    </xf>
    <xf numFmtId="0" fontId="29" fillId="0" borderId="18" xfId="0" applyFont="1" applyFill="1" applyBorder="1" applyAlignment="1">
      <alignment wrapText="1"/>
    </xf>
    <xf numFmtId="0" fontId="64" fillId="0" borderId="18" xfId="0" applyFont="1" applyFill="1" applyBorder="1" applyAlignment="1">
      <alignment horizontal="center" wrapText="1"/>
    </xf>
    <xf numFmtId="0" fontId="63" fillId="0" borderId="18" xfId="0" applyFont="1" applyBorder="1" applyAlignment="1">
      <alignment horizontal="center"/>
    </xf>
    <xf numFmtId="49" fontId="52" fillId="0" borderId="18" xfId="0" applyNumberFormat="1" applyFont="1" applyBorder="1" applyAlignment="1">
      <alignment horizontal="left"/>
    </xf>
    <xf numFmtId="43" fontId="48" fillId="0" borderId="52" xfId="84" applyFont="1" applyBorder="1" applyAlignment="1">
      <alignment/>
    </xf>
    <xf numFmtId="171" fontId="59" fillId="0" borderId="0" xfId="0" applyNumberFormat="1" applyFont="1" applyAlignment="1">
      <alignment/>
    </xf>
    <xf numFmtId="43" fontId="23" fillId="0" borderId="18" xfId="0" applyNumberFormat="1" applyFont="1" applyBorder="1" applyAlignment="1">
      <alignment/>
    </xf>
    <xf numFmtId="43" fontId="54" fillId="0" borderId="43" xfId="84" applyFont="1" applyFill="1" applyBorder="1" applyAlignment="1">
      <alignment/>
    </xf>
    <xf numFmtId="43" fontId="65" fillId="0" borderId="0" xfId="84" applyFont="1" applyFill="1" applyBorder="1" applyAlignment="1">
      <alignment/>
    </xf>
    <xf numFmtId="43" fontId="23" fillId="0" borderId="0" xfId="0" applyNumberFormat="1" applyFont="1" applyAlignment="1">
      <alignment/>
    </xf>
    <xf numFmtId="43" fontId="23" fillId="0" borderId="49" xfId="0" applyNumberFormat="1" applyFont="1" applyBorder="1" applyAlignment="1">
      <alignment/>
    </xf>
    <xf numFmtId="43" fontId="54" fillId="0" borderId="30" xfId="84" applyFont="1" applyFill="1" applyBorder="1" applyAlignment="1">
      <alignment/>
    </xf>
    <xf numFmtId="43" fontId="23" fillId="0" borderId="37" xfId="0" applyNumberFormat="1" applyFont="1" applyBorder="1" applyAlignment="1">
      <alignment/>
    </xf>
    <xf numFmtId="0" fontId="23" fillId="0" borderId="49" xfId="0" applyFont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73" fillId="0" borderId="55" xfId="0" applyFont="1" applyBorder="1" applyAlignment="1">
      <alignment/>
    </xf>
    <xf numFmtId="43" fontId="72" fillId="0" borderId="54" xfId="0" applyNumberFormat="1" applyFont="1" applyBorder="1" applyAlignment="1">
      <alignment/>
    </xf>
    <xf numFmtId="43" fontId="72" fillId="0" borderId="55" xfId="84" applyFont="1" applyBorder="1" applyAlignment="1">
      <alignment/>
    </xf>
    <xf numFmtId="0" fontId="72" fillId="0" borderId="55" xfId="0" applyFont="1" applyBorder="1" applyAlignment="1">
      <alignment/>
    </xf>
    <xf numFmtId="43" fontId="72" fillId="0" borderId="56" xfId="91" applyNumberFormat="1" applyFont="1" applyFill="1" applyBorder="1" applyAlignment="1">
      <alignment/>
      <protection/>
    </xf>
    <xf numFmtId="43" fontId="72" fillId="0" borderId="56" xfId="84" applyFont="1" applyFill="1" applyBorder="1" applyAlignment="1">
      <alignment/>
    </xf>
    <xf numFmtId="171" fontId="72" fillId="0" borderId="55" xfId="0" applyNumberFormat="1" applyFont="1" applyBorder="1" applyAlignment="1">
      <alignment/>
    </xf>
    <xf numFmtId="43" fontId="72" fillId="0" borderId="57" xfId="84" applyFont="1" applyBorder="1" applyAlignment="1">
      <alignment/>
    </xf>
    <xf numFmtId="0" fontId="106" fillId="0" borderId="46" xfId="0" applyNumberFormat="1" applyFont="1" applyFill="1" applyBorder="1" applyAlignment="1">
      <alignment horizontal="center" vertical="top" wrapText="1" readingOrder="1"/>
    </xf>
    <xf numFmtId="0" fontId="105" fillId="0" borderId="0" xfId="0" applyFont="1" applyAlignment="1">
      <alignment/>
    </xf>
    <xf numFmtId="0" fontId="0" fillId="0" borderId="0" xfId="0" applyAlignment="1">
      <alignment horizontal="left"/>
    </xf>
    <xf numFmtId="43" fontId="41" fillId="0" borderId="0" xfId="84" applyFont="1" applyAlignment="1">
      <alignment/>
    </xf>
    <xf numFmtId="43" fontId="0" fillId="0" borderId="18" xfId="0" applyNumberFormat="1" applyFont="1" applyBorder="1" applyAlignment="1">
      <alignment/>
    </xf>
    <xf numFmtId="43" fontId="109" fillId="0" borderId="18" xfId="84" applyFont="1" applyFill="1" applyBorder="1" applyAlignment="1">
      <alignment/>
    </xf>
    <xf numFmtId="171" fontId="0" fillId="0" borderId="18" xfId="0" applyNumberFormat="1" applyFont="1" applyFill="1" applyBorder="1" applyAlignment="1">
      <alignment/>
    </xf>
    <xf numFmtId="43" fontId="48" fillId="0" borderId="18" xfId="84" applyFont="1" applyFill="1" applyBorder="1" applyAlignment="1">
      <alignment/>
    </xf>
    <xf numFmtId="43" fontId="105" fillId="0" borderId="18" xfId="84" applyFont="1" applyFill="1" applyBorder="1" applyAlignment="1">
      <alignment/>
    </xf>
    <xf numFmtId="43" fontId="110" fillId="0" borderId="18" xfId="84" applyFont="1" applyFill="1" applyBorder="1" applyAlignment="1">
      <alignment/>
    </xf>
    <xf numFmtId="171" fontId="72" fillId="0" borderId="18" xfId="0" applyNumberFormat="1" applyFont="1" applyFill="1" applyBorder="1" applyAlignment="1">
      <alignment/>
    </xf>
    <xf numFmtId="43" fontId="72" fillId="0" borderId="18" xfId="84" applyFont="1" applyFill="1" applyBorder="1" applyAlignment="1">
      <alignment/>
    </xf>
    <xf numFmtId="43" fontId="110" fillId="0" borderId="18" xfId="84" applyFont="1" applyBorder="1" applyAlignment="1">
      <alignment/>
    </xf>
    <xf numFmtId="0" fontId="32" fillId="0" borderId="18" xfId="0" applyFont="1" applyBorder="1" applyAlignment="1">
      <alignment/>
    </xf>
    <xf numFmtId="43" fontId="55" fillId="19" borderId="36" xfId="84" applyFont="1" applyFill="1" applyBorder="1" applyAlignment="1">
      <alignment horizontal="left"/>
    </xf>
    <xf numFmtId="43" fontId="111" fillId="19" borderId="36" xfId="84" applyFont="1" applyFill="1" applyBorder="1" applyAlignment="1">
      <alignment horizontal="left"/>
    </xf>
    <xf numFmtId="0" fontId="0" fillId="0" borderId="0" xfId="84" applyNumberFormat="1" applyFont="1" applyAlignment="1">
      <alignment/>
    </xf>
    <xf numFmtId="0" fontId="0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0" fillId="0" borderId="0" xfId="0" applyFont="1" applyAlignment="1">
      <alignment horizontal="left"/>
    </xf>
    <xf numFmtId="4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7" fontId="0" fillId="0" borderId="18" xfId="0" applyNumberFormat="1" applyBorder="1" applyAlignment="1">
      <alignment/>
    </xf>
    <xf numFmtId="0" fontId="0" fillId="0" borderId="33" xfId="0" applyBorder="1" applyAlignment="1">
      <alignment/>
    </xf>
    <xf numFmtId="43" fontId="22" fillId="0" borderId="25" xfId="84" applyFont="1" applyBorder="1" applyAlignment="1">
      <alignment/>
    </xf>
    <xf numFmtId="171" fontId="0" fillId="0" borderId="25" xfId="0" applyNumberFormat="1" applyBorder="1" applyAlignment="1">
      <alignment/>
    </xf>
    <xf numFmtId="0" fontId="23" fillId="0" borderId="36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17" fontId="0" fillId="0" borderId="0" xfId="0" applyNumberFormat="1" applyAlignment="1">
      <alignment/>
    </xf>
    <xf numFmtId="171" fontId="105" fillId="0" borderId="0" xfId="0" applyNumberFormat="1" applyFont="1" applyAlignment="1">
      <alignment/>
    </xf>
    <xf numFmtId="43" fontId="22" fillId="0" borderId="0" xfId="84" applyFont="1" applyBorder="1" applyAlignment="1">
      <alignment/>
    </xf>
    <xf numFmtId="171" fontId="66" fillId="0" borderId="0" xfId="0" applyNumberFormat="1" applyFont="1" applyFill="1" applyAlignment="1">
      <alignment/>
    </xf>
    <xf numFmtId="171" fontId="22" fillId="56" borderId="0" xfId="0" applyNumberFormat="1" applyFont="1" applyFill="1" applyAlignment="1">
      <alignment/>
    </xf>
    <xf numFmtId="0" fontId="46" fillId="0" borderId="25" xfId="0" applyFont="1" applyBorder="1" applyAlignment="1">
      <alignment horizontal="center"/>
    </xf>
    <xf numFmtId="0" fontId="112" fillId="0" borderId="0" xfId="0" applyFont="1" applyAlignment="1">
      <alignment/>
    </xf>
    <xf numFmtId="0" fontId="113" fillId="0" borderId="0" xfId="0" applyFont="1" applyAlignment="1">
      <alignment horizontal="left"/>
    </xf>
    <xf numFmtId="43" fontId="113" fillId="0" borderId="0" xfId="84" applyFont="1" applyAlignment="1">
      <alignment horizontal="left"/>
    </xf>
    <xf numFmtId="43" fontId="48" fillId="0" borderId="0" xfId="84" applyFont="1" applyFill="1" applyBorder="1" applyAlignment="1">
      <alignment/>
    </xf>
    <xf numFmtId="43" fontId="105" fillId="0" borderId="0" xfId="0" applyNumberFormat="1" applyFont="1" applyAlignment="1">
      <alignment/>
    </xf>
    <xf numFmtId="0" fontId="105" fillId="0" borderId="0" xfId="0" applyFont="1" applyAlignment="1">
      <alignment horizontal="left"/>
    </xf>
    <xf numFmtId="0" fontId="105" fillId="0" borderId="0" xfId="0" applyFont="1" applyAlignment="1">
      <alignment/>
    </xf>
    <xf numFmtId="43" fontId="105" fillId="0" borderId="0" xfId="0" applyNumberFormat="1" applyFont="1" applyAlignment="1">
      <alignment/>
    </xf>
    <xf numFmtId="0" fontId="105" fillId="0" borderId="0" xfId="0" applyFont="1" applyAlignment="1">
      <alignment horizontal="left"/>
    </xf>
    <xf numFmtId="0" fontId="111" fillId="0" borderId="0" xfId="0" applyFont="1" applyBorder="1" applyAlignment="1">
      <alignment horizontal="left"/>
    </xf>
    <xf numFmtId="197" fontId="105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0" fontId="23" fillId="0" borderId="37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0" fillId="0" borderId="0" xfId="0" applyNumberFormat="1" applyFont="1" applyAlignment="1" quotePrefix="1">
      <alignment horizontal="right"/>
    </xf>
    <xf numFmtId="205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0" fontId="32" fillId="0" borderId="18" xfId="0" applyFont="1" applyFill="1" applyBorder="1" applyAlignment="1">
      <alignment wrapText="1"/>
    </xf>
    <xf numFmtId="49" fontId="67" fillId="0" borderId="18" xfId="0" applyNumberFormat="1" applyFont="1" applyBorder="1" applyAlignment="1">
      <alignment horizontal="left" wrapText="1"/>
    </xf>
    <xf numFmtId="0" fontId="23" fillId="0" borderId="18" xfId="0" applyFont="1" applyBorder="1" applyAlignment="1">
      <alignment horizontal="left"/>
    </xf>
    <xf numFmtId="0" fontId="23" fillId="0" borderId="0" xfId="0" applyFont="1" applyAlignment="1">
      <alignment horizontal="center"/>
    </xf>
    <xf numFmtId="4" fontId="0" fillId="0" borderId="0" xfId="0" applyNumberFormat="1" applyAlignment="1">
      <alignment/>
    </xf>
    <xf numFmtId="43" fontId="32" fillId="0" borderId="0" xfId="84" applyFont="1" applyAlignment="1">
      <alignment/>
    </xf>
    <xf numFmtId="43" fontId="68" fillId="0" borderId="0" xfId="84" applyFont="1" applyAlignment="1">
      <alignment/>
    </xf>
    <xf numFmtId="0" fontId="69" fillId="0" borderId="0" xfId="0" applyFont="1" applyAlignment="1">
      <alignment/>
    </xf>
    <xf numFmtId="43" fontId="23" fillId="0" borderId="0" xfId="84" applyFont="1" applyAlignment="1">
      <alignment/>
    </xf>
    <xf numFmtId="0" fontId="32" fillId="0" borderId="37" xfId="0" applyFont="1" applyBorder="1" applyAlignment="1">
      <alignment/>
    </xf>
    <xf numFmtId="0" fontId="32" fillId="0" borderId="36" xfId="0" applyFont="1" applyBorder="1" applyAlignment="1">
      <alignment/>
    </xf>
    <xf numFmtId="43" fontId="26" fillId="0" borderId="49" xfId="0" applyNumberFormat="1" applyFont="1" applyBorder="1" applyAlignment="1">
      <alignment/>
    </xf>
    <xf numFmtId="0" fontId="32" fillId="0" borderId="0" xfId="0" applyFont="1" applyAlignment="1">
      <alignment horizontal="center"/>
    </xf>
    <xf numFmtId="43" fontId="32" fillId="0" borderId="0" xfId="84" applyFont="1" applyAlignment="1">
      <alignment horizontal="center"/>
    </xf>
    <xf numFmtId="43" fontId="0" fillId="55" borderId="0" xfId="84" applyFont="1" applyFill="1" applyAlignment="1">
      <alignment/>
    </xf>
    <xf numFmtId="0" fontId="0" fillId="55" borderId="0" xfId="0" applyFill="1" applyAlignment="1">
      <alignment horizontal="left"/>
    </xf>
    <xf numFmtId="43" fontId="57" fillId="0" borderId="0" xfId="0" applyNumberFormat="1" applyFont="1" applyAlignment="1">
      <alignment/>
    </xf>
    <xf numFmtId="171" fontId="22" fillId="55" borderId="0" xfId="0" applyNumberFormat="1" applyFont="1" applyFill="1" applyAlignment="1">
      <alignment/>
    </xf>
    <xf numFmtId="43" fontId="0" fillId="0" borderId="0" xfId="0" applyNumberFormat="1" applyFont="1" applyBorder="1" applyAlignment="1">
      <alignment/>
    </xf>
    <xf numFmtId="43" fontId="0" fillId="0" borderId="0" xfId="84" applyFont="1" applyAlignment="1">
      <alignment/>
    </xf>
    <xf numFmtId="197" fontId="0" fillId="0" borderId="0" xfId="84" applyNumberFormat="1" applyFont="1" applyAlignment="1" quotePrefix="1">
      <alignment/>
    </xf>
    <xf numFmtId="204" fontId="0" fillId="0" borderId="0" xfId="0" applyNumberFormat="1" applyFont="1" applyAlignment="1" quotePrefix="1">
      <alignment horizontal="left"/>
    </xf>
    <xf numFmtId="204" fontId="0" fillId="0" borderId="0" xfId="0" applyNumberFormat="1" applyFont="1" applyAlignment="1" quotePrefix="1">
      <alignment/>
    </xf>
    <xf numFmtId="43" fontId="46" fillId="0" borderId="30" xfId="84" applyFont="1" applyBorder="1" applyAlignment="1">
      <alignment/>
    </xf>
    <xf numFmtId="171" fontId="46" fillId="0" borderId="45" xfId="0" applyNumberFormat="1" applyFont="1" applyBorder="1" applyAlignment="1">
      <alignment/>
    </xf>
    <xf numFmtId="171" fontId="48" fillId="0" borderId="30" xfId="0" applyNumberFormat="1" applyFont="1" applyBorder="1" applyAlignment="1">
      <alignment/>
    </xf>
    <xf numFmtId="43" fontId="22" fillId="0" borderId="0" xfId="84" applyFont="1" applyFill="1" applyAlignment="1">
      <alignment wrapText="1"/>
    </xf>
    <xf numFmtId="0" fontId="22" fillId="56" borderId="0" xfId="0" applyFont="1" applyFill="1" applyAlignment="1">
      <alignment wrapText="1"/>
    </xf>
    <xf numFmtId="0" fontId="22" fillId="56" borderId="0" xfId="0" applyFont="1" applyFill="1" applyAlignment="1">
      <alignment/>
    </xf>
    <xf numFmtId="43" fontId="23" fillId="55" borderId="33" xfId="84" applyFont="1" applyFill="1" applyBorder="1" applyAlignment="1">
      <alignment/>
    </xf>
    <xf numFmtId="0" fontId="0" fillId="0" borderId="0" xfId="0" applyAlignment="1">
      <alignment horizontal="center"/>
    </xf>
    <xf numFmtId="0" fontId="0" fillId="8" borderId="0" xfId="0" applyFill="1" applyAlignment="1">
      <alignment/>
    </xf>
    <xf numFmtId="43" fontId="0" fillId="8" borderId="0" xfId="84" applyFont="1" applyFill="1" applyAlignment="1">
      <alignment/>
    </xf>
    <xf numFmtId="0" fontId="0" fillId="8" borderId="0" xfId="0" applyFill="1" applyAlignment="1">
      <alignment horizontal="left"/>
    </xf>
    <xf numFmtId="0" fontId="0" fillId="0" borderId="0" xfId="0" applyFont="1" applyAlignment="1" quotePrefix="1">
      <alignment/>
    </xf>
    <xf numFmtId="0" fontId="72" fillId="0" borderId="0" xfId="0" applyFont="1" applyAlignment="1">
      <alignment/>
    </xf>
    <xf numFmtId="0" fontId="105" fillId="0" borderId="0" xfId="0" applyFont="1" applyAlignment="1" quotePrefix="1">
      <alignment/>
    </xf>
    <xf numFmtId="43" fontId="105" fillId="0" borderId="0" xfId="0" applyNumberFormat="1" applyFont="1" applyAlignment="1" quotePrefix="1">
      <alignment/>
    </xf>
    <xf numFmtId="0" fontId="73" fillId="0" borderId="18" xfId="0" applyFont="1" applyBorder="1" applyAlignment="1">
      <alignment/>
    </xf>
    <xf numFmtId="43" fontId="72" fillId="0" borderId="0" xfId="0" applyNumberFormat="1" applyFont="1" applyAlignment="1">
      <alignment/>
    </xf>
    <xf numFmtId="43" fontId="0" fillId="0" borderId="0" xfId="84" applyFont="1" applyAlignment="1">
      <alignment horizontal="center"/>
    </xf>
    <xf numFmtId="49" fontId="70" fillId="39" borderId="58" xfId="0" applyNumberFormat="1" applyFont="1" applyFill="1" applyBorder="1" applyAlignment="1">
      <alignment horizontal="left"/>
    </xf>
    <xf numFmtId="49" fontId="1" fillId="0" borderId="0" xfId="0" applyNumberFormat="1" applyFont="1" applyAlignment="1">
      <alignment horizontal="left"/>
    </xf>
    <xf numFmtId="43" fontId="1" fillId="0" borderId="0" xfId="0" applyNumberFormat="1" applyFont="1" applyAlignment="1">
      <alignment horizontal="right"/>
    </xf>
    <xf numFmtId="43" fontId="1" fillId="0" borderId="55" xfId="0" applyNumberFormat="1" applyFont="1" applyBorder="1" applyAlignment="1">
      <alignment horizontal="right"/>
    </xf>
    <xf numFmtId="43" fontId="0" fillId="0" borderId="36" xfId="0" applyNumberFormat="1" applyBorder="1" applyAlignment="1">
      <alignment/>
    </xf>
    <xf numFmtId="171" fontId="0" fillId="56" borderId="0" xfId="0" applyNumberFormat="1" applyFill="1" applyAlignment="1">
      <alignment/>
    </xf>
    <xf numFmtId="0" fontId="0" fillId="56" borderId="0" xfId="0" applyFill="1" applyAlignment="1">
      <alignment/>
    </xf>
    <xf numFmtId="43" fontId="0" fillId="56" borderId="0" xfId="0" applyNumberFormat="1" applyFill="1" applyAlignment="1">
      <alignment/>
    </xf>
    <xf numFmtId="43" fontId="1" fillId="57" borderId="0" xfId="0" applyNumberFormat="1" applyFont="1" applyFill="1" applyAlignment="1">
      <alignment horizontal="right"/>
    </xf>
    <xf numFmtId="4" fontId="0" fillId="0" borderId="0" xfId="0" applyNumberFormat="1" applyFont="1" applyAlignment="1">
      <alignment/>
    </xf>
    <xf numFmtId="43" fontId="114" fillId="0" borderId="30" xfId="84" applyFont="1" applyFill="1" applyBorder="1" applyAlignment="1">
      <alignment/>
    </xf>
    <xf numFmtId="43" fontId="59" fillId="0" borderId="0" xfId="84" applyFont="1" applyAlignment="1">
      <alignment/>
    </xf>
    <xf numFmtId="171" fontId="59" fillId="58" borderId="0" xfId="0" applyNumberFormat="1" applyFont="1" applyFill="1" applyAlignment="1">
      <alignment/>
    </xf>
    <xf numFmtId="43" fontId="105" fillId="0" borderId="0" xfId="0" applyNumberFormat="1" applyFont="1" applyFill="1" applyAlignment="1">
      <alignment/>
    </xf>
    <xf numFmtId="43" fontId="0" fillId="0" borderId="0" xfId="0" applyNumberFormat="1" applyFill="1" applyAlignment="1">
      <alignment/>
    </xf>
    <xf numFmtId="171" fontId="0" fillId="0" borderId="0" xfId="0" applyNumberFormat="1" applyFill="1" applyAlignment="1">
      <alignment/>
    </xf>
    <xf numFmtId="171" fontId="0" fillId="0" borderId="0" xfId="0" applyNumberFormat="1" applyFont="1" applyFill="1" applyAlignment="1">
      <alignment/>
    </xf>
    <xf numFmtId="43" fontId="109" fillId="0" borderId="30" xfId="84" applyFont="1" applyFill="1" applyBorder="1" applyAlignment="1">
      <alignment/>
    </xf>
    <xf numFmtId="171" fontId="0" fillId="0" borderId="44" xfId="0" applyNumberFormat="1" applyFont="1" applyBorder="1" applyAlignment="1">
      <alignment/>
    </xf>
    <xf numFmtId="43" fontId="109" fillId="0" borderId="0" xfId="84" applyFont="1" applyFill="1" applyAlignment="1">
      <alignment/>
    </xf>
    <xf numFmtId="43" fontId="22" fillId="56" borderId="0" xfId="84" applyFont="1" applyFill="1" applyAlignment="1">
      <alignment/>
    </xf>
    <xf numFmtId="43" fontId="22" fillId="0" borderId="0" xfId="0" applyNumberFormat="1" applyFont="1" applyFill="1" applyAlignment="1">
      <alignment/>
    </xf>
    <xf numFmtId="49" fontId="24" fillId="0" borderId="23" xfId="0" applyNumberFormat="1" applyFont="1" applyFill="1" applyBorder="1" applyAlignment="1">
      <alignment horizontal="center"/>
    </xf>
    <xf numFmtId="43" fontId="0" fillId="0" borderId="18" xfId="84" applyFont="1" applyFill="1" applyBorder="1" applyAlignment="1">
      <alignment/>
    </xf>
    <xf numFmtId="49" fontId="1" fillId="0" borderId="18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left"/>
    </xf>
    <xf numFmtId="0" fontId="0" fillId="0" borderId="20" xfId="0" applyFill="1" applyBorder="1" applyAlignment="1">
      <alignment/>
    </xf>
    <xf numFmtId="0" fontId="115" fillId="0" borderId="18" xfId="0" applyFont="1" applyBorder="1" applyAlignment="1">
      <alignment wrapText="1"/>
    </xf>
    <xf numFmtId="49" fontId="1" fillId="0" borderId="52" xfId="0" applyNumberFormat="1" applyFont="1" applyBorder="1" applyAlignment="1">
      <alignment horizontal="left"/>
    </xf>
    <xf numFmtId="0" fontId="0" fillId="0" borderId="59" xfId="0" applyBorder="1" applyAlignment="1">
      <alignment wrapText="1"/>
    </xf>
    <xf numFmtId="43" fontId="0" fillId="0" borderId="18" xfId="86" applyFont="1" applyBorder="1" applyAlignment="1">
      <alignment/>
    </xf>
    <xf numFmtId="43" fontId="0" fillId="0" borderId="20" xfId="86" applyFont="1" applyBorder="1" applyAlignment="1">
      <alignment/>
    </xf>
    <xf numFmtId="43" fontId="0" fillId="0" borderId="18" xfId="0" applyNumberFormat="1" applyFill="1" applyBorder="1" applyAlignment="1">
      <alignment/>
    </xf>
    <xf numFmtId="0" fontId="23" fillId="54" borderId="18" xfId="0" applyNumberFormat="1" applyFont="1" applyFill="1" applyBorder="1" applyAlignment="1">
      <alignment horizontal="center" wrapText="1"/>
    </xf>
    <xf numFmtId="0" fontId="23" fillId="54" borderId="18" xfId="0" applyNumberFormat="1" applyFont="1" applyFill="1" applyBorder="1" applyAlignment="1">
      <alignment horizontal="center"/>
    </xf>
    <xf numFmtId="43" fontId="23" fillId="54" borderId="18" xfId="84" applyFont="1" applyFill="1" applyBorder="1" applyAlignment="1">
      <alignment horizontal="center" wrapText="1"/>
    </xf>
    <xf numFmtId="0" fontId="23" fillId="54" borderId="45" xfId="0" applyNumberFormat="1" applyFont="1" applyFill="1" applyBorder="1" applyAlignment="1">
      <alignment horizontal="center"/>
    </xf>
    <xf numFmtId="210" fontId="0" fillId="0" borderId="38" xfId="0" applyNumberFormat="1" applyBorder="1" applyAlignment="1">
      <alignment wrapText="1"/>
    </xf>
    <xf numFmtId="49" fontId="24" fillId="0" borderId="18" xfId="0" applyNumberFormat="1" applyFont="1" applyBorder="1" applyAlignment="1">
      <alignment horizontal="center"/>
    </xf>
    <xf numFmtId="0" fontId="90" fillId="0" borderId="18" xfId="0" applyFont="1" applyBorder="1" applyAlignment="1">
      <alignment wrapText="1"/>
    </xf>
    <xf numFmtId="171" fontId="26" fillId="0" borderId="30" xfId="0" applyNumberFormat="1" applyFont="1" applyFill="1" applyBorder="1" applyAlignment="1">
      <alignment/>
    </xf>
    <xf numFmtId="43" fontId="0" fillId="0" borderId="52" xfId="86" applyFont="1" applyBorder="1" applyAlignment="1">
      <alignment/>
    </xf>
    <xf numFmtId="43" fontId="90" fillId="0" borderId="18" xfId="84" applyFont="1" applyBorder="1" applyAlignment="1">
      <alignment wrapText="1"/>
    </xf>
    <xf numFmtId="210" fontId="90" fillId="0" borderId="18" xfId="84" applyNumberFormat="1" applyFont="1" applyBorder="1" applyAlignment="1">
      <alignment wrapText="1"/>
    </xf>
    <xf numFmtId="210" fontId="0" fillId="0" borderId="0" xfId="0" applyNumberFormat="1" applyAlignment="1">
      <alignment/>
    </xf>
    <xf numFmtId="0" fontId="23" fillId="0" borderId="54" xfId="0" applyFont="1" applyBorder="1" applyAlignment="1">
      <alignment/>
    </xf>
    <xf numFmtId="43" fontId="23" fillId="0" borderId="57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16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Alignment="1">
      <alignment/>
    </xf>
    <xf numFmtId="43" fontId="0" fillId="0" borderId="0" xfId="84" applyFont="1" applyFill="1" applyAlignment="1">
      <alignment/>
    </xf>
    <xf numFmtId="4" fontId="0" fillId="0" borderId="0" xfId="0" applyNumberFormat="1" applyFill="1" applyAlignment="1">
      <alignment/>
    </xf>
    <xf numFmtId="213" fontId="0" fillId="0" borderId="0" xfId="88" applyNumberFormat="1" applyFont="1" applyFill="1" applyAlignment="1">
      <alignment/>
    </xf>
    <xf numFmtId="2" fontId="0" fillId="0" borderId="0" xfId="0" applyNumberFormat="1" applyFill="1" applyAlignment="1">
      <alignment horizontal="left"/>
    </xf>
    <xf numFmtId="211" fontId="0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43" fontId="23" fillId="0" borderId="0" xfId="84" applyFont="1" applyFill="1" applyAlignment="1">
      <alignment/>
    </xf>
    <xf numFmtId="213" fontId="90" fillId="0" borderId="0" xfId="84" applyNumberFormat="1" applyFont="1" applyFill="1" applyBorder="1" applyAlignment="1">
      <alignment wrapText="1"/>
    </xf>
    <xf numFmtId="43" fontId="22" fillId="0" borderId="0" xfId="86" applyFont="1" applyAlignment="1">
      <alignment/>
    </xf>
    <xf numFmtId="43" fontId="83" fillId="0" borderId="0" xfId="0" applyNumberFormat="1" applyFont="1" applyAlignment="1">
      <alignment horizontal="right"/>
    </xf>
    <xf numFmtId="0" fontId="84" fillId="0" borderId="0" xfId="0" applyFont="1" applyFill="1" applyAlignment="1">
      <alignment/>
    </xf>
    <xf numFmtId="43" fontId="84" fillId="0" borderId="0" xfId="84" applyFont="1" applyFill="1" applyAlignment="1">
      <alignment/>
    </xf>
    <xf numFmtId="0" fontId="84" fillId="0" borderId="0" xfId="0" applyFont="1" applyFill="1" applyBorder="1" applyAlignment="1">
      <alignment/>
    </xf>
    <xf numFmtId="43" fontId="84" fillId="0" borderId="0" xfId="84" applyFont="1" applyFill="1" applyBorder="1" applyAlignment="1">
      <alignment/>
    </xf>
    <xf numFmtId="43" fontId="84" fillId="0" borderId="0" xfId="84" applyFont="1" applyFill="1" applyBorder="1" applyAlignment="1">
      <alignment horizontal="center"/>
    </xf>
    <xf numFmtId="0" fontId="85" fillId="0" borderId="0" xfId="0" applyFont="1" applyFill="1" applyBorder="1" applyAlignment="1">
      <alignment horizontal="left"/>
    </xf>
    <xf numFmtId="0" fontId="86" fillId="0" borderId="0" xfId="0" applyFont="1" applyFill="1" applyBorder="1" applyAlignment="1">
      <alignment/>
    </xf>
    <xf numFmtId="43" fontId="84" fillId="0" borderId="0" xfId="86" applyFont="1" applyAlignment="1">
      <alignment/>
    </xf>
    <xf numFmtId="43" fontId="87" fillId="0" borderId="0" xfId="84" applyFont="1" applyFill="1" applyAlignment="1">
      <alignment/>
    </xf>
    <xf numFmtId="0" fontId="85" fillId="0" borderId="0" xfId="0" applyFont="1" applyFill="1" applyBorder="1" applyAlignment="1">
      <alignment/>
    </xf>
    <xf numFmtId="43" fontId="85" fillId="0" borderId="0" xfId="84" applyFont="1" applyFill="1" applyBorder="1" applyAlignment="1">
      <alignment/>
    </xf>
    <xf numFmtId="43" fontId="87" fillId="0" borderId="0" xfId="84" applyFont="1" applyFill="1" applyBorder="1" applyAlignment="1">
      <alignment/>
    </xf>
    <xf numFmtId="43" fontId="88" fillId="0" borderId="0" xfId="0" applyNumberFormat="1" applyFont="1" applyAlignment="1">
      <alignment horizontal="right"/>
    </xf>
    <xf numFmtId="43" fontId="84" fillId="0" borderId="0" xfId="84" applyFont="1" applyFill="1" applyAlignment="1">
      <alignment horizontal="left"/>
    </xf>
    <xf numFmtId="0" fontId="0" fillId="0" borderId="30" xfId="0" applyFill="1" applyBorder="1" applyAlignment="1">
      <alignment/>
    </xf>
    <xf numFmtId="171" fontId="32" fillId="0" borderId="30" xfId="0" applyNumberFormat="1" applyFont="1" applyFill="1" applyBorder="1" applyAlignment="1">
      <alignment/>
    </xf>
    <xf numFmtId="43" fontId="32" fillId="0" borderId="30" xfId="84" applyFont="1" applyFill="1" applyBorder="1" applyAlignment="1">
      <alignment/>
    </xf>
    <xf numFmtId="0" fontId="0" fillId="0" borderId="18" xfId="0" applyBorder="1" applyAlignment="1">
      <alignment/>
    </xf>
    <xf numFmtId="43" fontId="0" fillId="0" borderId="18" xfId="84" applyFont="1" applyFill="1" applyBorder="1" applyAlignment="1">
      <alignment/>
    </xf>
    <xf numFmtId="43" fontId="0" fillId="0" borderId="18" xfId="0" applyNumberFormat="1" applyFill="1" applyBorder="1" applyAlignment="1">
      <alignment/>
    </xf>
    <xf numFmtId="43" fontId="0" fillId="0" borderId="18" xfId="84" applyFont="1" applyBorder="1" applyAlignment="1">
      <alignment/>
    </xf>
    <xf numFmtId="43" fontId="0" fillId="0" borderId="18" xfId="0" applyNumberFormat="1" applyBorder="1" applyAlignment="1">
      <alignment/>
    </xf>
    <xf numFmtId="0" fontId="2" fillId="59" borderId="18" xfId="0" applyNumberFormat="1" applyFont="1" applyFill="1" applyBorder="1" applyAlignment="1">
      <alignment horizontal="center"/>
    </xf>
    <xf numFmtId="0" fontId="2" fillId="59" borderId="18" xfId="0" applyNumberFormat="1" applyFont="1" applyFill="1" applyBorder="1" applyAlignment="1">
      <alignment horizontal="center" wrapText="1"/>
    </xf>
    <xf numFmtId="43" fontId="2" fillId="59" borderId="18" xfId="84" applyFont="1" applyFill="1" applyBorder="1" applyAlignment="1">
      <alignment horizontal="center" wrapText="1"/>
    </xf>
    <xf numFmtId="0" fontId="23" fillId="59" borderId="30" xfId="0" applyFont="1" applyFill="1" applyBorder="1" applyAlignment="1">
      <alignment horizontal="center"/>
    </xf>
    <xf numFmtId="0" fontId="0" fillId="59" borderId="18" xfId="0" applyFill="1" applyBorder="1" applyAlignment="1">
      <alignment/>
    </xf>
    <xf numFmtId="0" fontId="23" fillId="59" borderId="18" xfId="0" applyFont="1" applyFill="1" applyBorder="1" applyAlignment="1">
      <alignment/>
    </xf>
    <xf numFmtId="0" fontId="31" fillId="59" borderId="18" xfId="0" applyFont="1" applyFill="1" applyBorder="1" applyAlignment="1">
      <alignment wrapText="1"/>
    </xf>
    <xf numFmtId="0" fontId="26" fillId="59" borderId="18" xfId="0" applyFont="1" applyFill="1" applyBorder="1" applyAlignment="1">
      <alignment wrapText="1"/>
    </xf>
    <xf numFmtId="0" fontId="40" fillId="0" borderId="0" xfId="0" applyNumberFormat="1" applyFont="1" applyFill="1" applyBorder="1" applyAlignment="1">
      <alignment horizontal="left"/>
    </xf>
    <xf numFmtId="43" fontId="40" fillId="0" borderId="0" xfId="84" applyFont="1" applyFill="1" applyBorder="1" applyAlignment="1">
      <alignment horizontal="center" wrapText="1"/>
    </xf>
    <xf numFmtId="49" fontId="1" fillId="0" borderId="18" xfId="0" applyNumberFormat="1" applyFont="1" applyBorder="1" applyAlignment="1">
      <alignment horizontal="left"/>
    </xf>
    <xf numFmtId="43" fontId="1" fillId="0" borderId="18" xfId="0" applyNumberFormat="1" applyFont="1" applyBorder="1" applyAlignment="1">
      <alignment horizontal="right"/>
    </xf>
    <xf numFmtId="43" fontId="1" fillId="56" borderId="18" xfId="0" applyNumberFormat="1" applyFont="1" applyFill="1" applyBorder="1" applyAlignment="1">
      <alignment horizontal="right"/>
    </xf>
    <xf numFmtId="43" fontId="1" fillId="11" borderId="18" xfId="0" applyNumberFormat="1" applyFont="1" applyFill="1" applyBorder="1" applyAlignment="1">
      <alignment horizontal="right"/>
    </xf>
    <xf numFmtId="43" fontId="1" fillId="9" borderId="18" xfId="0" applyNumberFormat="1" applyFont="1" applyFill="1" applyBorder="1" applyAlignment="1">
      <alignment horizontal="right"/>
    </xf>
    <xf numFmtId="171" fontId="0" fillId="9" borderId="18" xfId="0" applyNumberFormat="1" applyFill="1" applyBorder="1" applyAlignment="1">
      <alignment/>
    </xf>
    <xf numFmtId="43" fontId="1" fillId="20" borderId="18" xfId="0" applyNumberFormat="1" applyFont="1" applyFill="1" applyBorder="1" applyAlignment="1">
      <alignment horizontal="right"/>
    </xf>
    <xf numFmtId="43" fontId="1" fillId="13" borderId="18" xfId="0" applyNumberFormat="1" applyFont="1" applyFill="1" applyBorder="1" applyAlignment="1">
      <alignment horizontal="right"/>
    </xf>
    <xf numFmtId="43" fontId="1" fillId="12" borderId="18" xfId="0" applyNumberFormat="1" applyFont="1" applyFill="1" applyBorder="1" applyAlignment="1">
      <alignment horizontal="right"/>
    </xf>
    <xf numFmtId="43" fontId="1" fillId="60" borderId="18" xfId="0" applyNumberFormat="1" applyFont="1" applyFill="1" applyBorder="1" applyAlignment="1">
      <alignment horizontal="right"/>
    </xf>
    <xf numFmtId="49" fontId="1" fillId="21" borderId="18" xfId="0" applyNumberFormat="1" applyFont="1" applyFill="1" applyBorder="1" applyAlignment="1">
      <alignment horizontal="left"/>
    </xf>
    <xf numFmtId="43" fontId="1" fillId="21" borderId="18" xfId="0" applyNumberFormat="1" applyFont="1" applyFill="1" applyBorder="1" applyAlignment="1">
      <alignment horizontal="right"/>
    </xf>
    <xf numFmtId="43" fontId="1" fillId="55" borderId="18" xfId="0" applyNumberFormat="1" applyFont="1" applyFill="1" applyBorder="1" applyAlignment="1">
      <alignment horizontal="right"/>
    </xf>
    <xf numFmtId="49" fontId="1" fillId="56" borderId="18" xfId="0" applyNumberFormat="1" applyFont="1" applyFill="1" applyBorder="1" applyAlignment="1">
      <alignment horizontal="left"/>
    </xf>
    <xf numFmtId="49" fontId="1" fillId="23" borderId="18" xfId="0" applyNumberFormat="1" applyFont="1" applyFill="1" applyBorder="1" applyAlignment="1">
      <alignment horizontal="left"/>
    </xf>
    <xf numFmtId="43" fontId="1" fillId="23" borderId="18" xfId="0" applyNumberFormat="1" applyFont="1" applyFill="1" applyBorder="1" applyAlignment="1">
      <alignment horizontal="right"/>
    </xf>
    <xf numFmtId="49" fontId="1" fillId="20" borderId="18" xfId="0" applyNumberFormat="1" applyFont="1" applyFill="1" applyBorder="1" applyAlignment="1">
      <alignment horizontal="left"/>
    </xf>
    <xf numFmtId="49" fontId="1" fillId="13" borderId="18" xfId="0" applyNumberFormat="1" applyFont="1" applyFill="1" applyBorder="1" applyAlignment="1">
      <alignment horizontal="left"/>
    </xf>
    <xf numFmtId="43" fontId="1" fillId="54" borderId="18" xfId="0" applyNumberFormat="1" applyFont="1" applyFill="1" applyBorder="1" applyAlignment="1">
      <alignment horizontal="right"/>
    </xf>
    <xf numFmtId="43" fontId="1" fillId="8" borderId="18" xfId="0" applyNumberFormat="1" applyFont="1" applyFill="1" applyBorder="1" applyAlignment="1">
      <alignment horizontal="right"/>
    </xf>
    <xf numFmtId="171" fontId="41" fillId="0" borderId="18" xfId="0" applyNumberFormat="1" applyFont="1" applyBorder="1" applyAlignment="1">
      <alignment/>
    </xf>
    <xf numFmtId="49" fontId="70" fillId="59" borderId="18" xfId="0" applyNumberFormat="1" applyFont="1" applyFill="1" applyBorder="1" applyAlignment="1">
      <alignment horizontal="left"/>
    </xf>
    <xf numFmtId="49" fontId="70" fillId="59" borderId="18" xfId="0" applyNumberFormat="1" applyFont="1" applyFill="1" applyBorder="1" applyAlignment="1">
      <alignment horizontal="center" wrapText="1"/>
    </xf>
    <xf numFmtId="0" fontId="0" fillId="59" borderId="18" xfId="0" applyFill="1" applyBorder="1" applyAlignment="1">
      <alignment/>
    </xf>
    <xf numFmtId="43" fontId="24" fillId="56" borderId="18" xfId="0" applyNumberFormat="1" applyFont="1" applyFill="1" applyBorder="1" applyAlignment="1">
      <alignment horizontal="right"/>
    </xf>
    <xf numFmtId="43" fontId="24" fillId="21" borderId="18" xfId="0" applyNumberFormat="1" applyFont="1" applyFill="1" applyBorder="1" applyAlignment="1">
      <alignment horizontal="right"/>
    </xf>
    <xf numFmtId="171" fontId="0" fillId="56" borderId="18" xfId="0" applyNumberFormat="1" applyFill="1" applyBorder="1" applyAlignment="1">
      <alignment/>
    </xf>
    <xf numFmtId="0" fontId="0" fillId="56" borderId="18" xfId="0" applyFont="1" applyFill="1" applyBorder="1" applyAlignment="1">
      <alignment/>
    </xf>
    <xf numFmtId="49" fontId="1" fillId="10" borderId="18" xfId="0" applyNumberFormat="1" applyFont="1" applyFill="1" applyBorder="1" applyAlignment="1">
      <alignment horizontal="left"/>
    </xf>
    <xf numFmtId="43" fontId="1" fillId="10" borderId="18" xfId="0" applyNumberFormat="1" applyFont="1" applyFill="1" applyBorder="1" applyAlignment="1">
      <alignment horizontal="right"/>
    </xf>
    <xf numFmtId="171" fontId="0" fillId="10" borderId="18" xfId="0" applyNumberFormat="1" applyFill="1" applyBorder="1" applyAlignment="1">
      <alignment/>
    </xf>
    <xf numFmtId="0" fontId="0" fillId="10" borderId="18" xfId="0" applyFont="1" applyFill="1" applyBorder="1" applyAlignment="1">
      <alignment/>
    </xf>
    <xf numFmtId="49" fontId="1" fillId="9" borderId="18" xfId="0" applyNumberFormat="1" applyFont="1" applyFill="1" applyBorder="1" applyAlignment="1">
      <alignment horizontal="left"/>
    </xf>
    <xf numFmtId="0" fontId="0" fillId="9" borderId="18" xfId="0" applyFont="1" applyFill="1" applyBorder="1" applyAlignment="1">
      <alignment/>
    </xf>
    <xf numFmtId="0" fontId="0" fillId="9" borderId="18" xfId="0" applyFill="1" applyBorder="1" applyAlignment="1">
      <alignment/>
    </xf>
    <xf numFmtId="171" fontId="0" fillId="20" borderId="18" xfId="0" applyNumberFormat="1" applyFill="1" applyBorder="1" applyAlignment="1">
      <alignment/>
    </xf>
    <xf numFmtId="171" fontId="0" fillId="13" borderId="18" xfId="0" applyNumberFormat="1" applyFill="1" applyBorder="1" applyAlignment="1">
      <alignment/>
    </xf>
    <xf numFmtId="0" fontId="0" fillId="13" borderId="18" xfId="0" applyFont="1" applyFill="1" applyBorder="1" applyAlignment="1">
      <alignment/>
    </xf>
    <xf numFmtId="0" fontId="0" fillId="13" borderId="18" xfId="0" applyFill="1" applyBorder="1" applyAlignment="1">
      <alignment/>
    </xf>
    <xf numFmtId="49" fontId="1" fillId="12" borderId="18" xfId="0" applyNumberFormat="1" applyFont="1" applyFill="1" applyBorder="1" applyAlignment="1">
      <alignment horizontal="left"/>
    </xf>
    <xf numFmtId="171" fontId="0" fillId="12" borderId="18" xfId="0" applyNumberFormat="1" applyFill="1" applyBorder="1" applyAlignment="1">
      <alignment/>
    </xf>
    <xf numFmtId="0" fontId="0" fillId="12" borderId="18" xfId="0" applyFont="1" applyFill="1" applyBorder="1" applyAlignment="1">
      <alignment/>
    </xf>
    <xf numFmtId="49" fontId="1" fillId="61" borderId="18" xfId="0" applyNumberFormat="1" applyFont="1" applyFill="1" applyBorder="1" applyAlignment="1">
      <alignment horizontal="left"/>
    </xf>
    <xf numFmtId="43" fontId="1" fillId="61" borderId="18" xfId="0" applyNumberFormat="1" applyFont="1" applyFill="1" applyBorder="1" applyAlignment="1">
      <alignment horizontal="right"/>
    </xf>
    <xf numFmtId="171" fontId="0" fillId="61" borderId="18" xfId="0" applyNumberFormat="1" applyFill="1" applyBorder="1" applyAlignment="1">
      <alignment/>
    </xf>
    <xf numFmtId="43" fontId="0" fillId="61" borderId="18" xfId="0" applyNumberFormat="1" applyFill="1" applyBorder="1" applyAlignment="1">
      <alignment/>
    </xf>
    <xf numFmtId="0" fontId="0" fillId="61" borderId="18" xfId="0" applyFont="1" applyFill="1" applyBorder="1" applyAlignment="1">
      <alignment/>
    </xf>
    <xf numFmtId="49" fontId="1" fillId="22" borderId="18" xfId="0" applyNumberFormat="1" applyFont="1" applyFill="1" applyBorder="1" applyAlignment="1">
      <alignment horizontal="left"/>
    </xf>
    <xf numFmtId="43" fontId="1" fillId="22" borderId="18" xfId="0" applyNumberFormat="1" applyFont="1" applyFill="1" applyBorder="1" applyAlignment="1">
      <alignment horizontal="right"/>
    </xf>
    <xf numFmtId="171" fontId="0" fillId="22" borderId="18" xfId="0" applyNumberFormat="1" applyFill="1" applyBorder="1" applyAlignment="1">
      <alignment/>
    </xf>
    <xf numFmtId="0" fontId="0" fillId="22" borderId="18" xfId="0" applyFont="1" applyFill="1" applyBorder="1" applyAlignment="1">
      <alignment/>
    </xf>
    <xf numFmtId="49" fontId="1" fillId="11" borderId="18" xfId="0" applyNumberFormat="1" applyFont="1" applyFill="1" applyBorder="1" applyAlignment="1">
      <alignment horizontal="left"/>
    </xf>
    <xf numFmtId="0" fontId="0" fillId="56" borderId="18" xfId="0" applyFill="1" applyBorder="1" applyAlignment="1">
      <alignment/>
    </xf>
    <xf numFmtId="49" fontId="1" fillId="62" borderId="18" xfId="0" applyNumberFormat="1" applyFont="1" applyFill="1" applyBorder="1" applyAlignment="1">
      <alignment horizontal="left"/>
    </xf>
    <xf numFmtId="43" fontId="1" fillId="62" borderId="18" xfId="0" applyNumberFormat="1" applyFont="1" applyFill="1" applyBorder="1" applyAlignment="1">
      <alignment horizontal="right"/>
    </xf>
    <xf numFmtId="171" fontId="0" fillId="62" borderId="18" xfId="0" applyNumberFormat="1" applyFill="1" applyBorder="1" applyAlignment="1">
      <alignment/>
    </xf>
    <xf numFmtId="0" fontId="0" fillId="62" borderId="18" xfId="0" applyFont="1" applyFill="1" applyBorder="1" applyAlignment="1">
      <alignment/>
    </xf>
    <xf numFmtId="0" fontId="0" fillId="62" borderId="18" xfId="0" applyFill="1" applyBorder="1" applyAlignment="1">
      <alignment/>
    </xf>
    <xf numFmtId="171" fontId="0" fillId="11" borderId="18" xfId="0" applyNumberFormat="1" applyFill="1" applyBorder="1" applyAlignment="1">
      <alignment/>
    </xf>
    <xf numFmtId="0" fontId="0" fillId="11" borderId="18" xfId="0" applyFont="1" applyFill="1" applyBorder="1" applyAlignment="1">
      <alignment/>
    </xf>
    <xf numFmtId="0" fontId="0" fillId="20" borderId="18" xfId="0" applyFont="1" applyFill="1" applyBorder="1" applyAlignment="1">
      <alignment/>
    </xf>
    <xf numFmtId="0" fontId="0" fillId="20" borderId="18" xfId="0" applyFill="1" applyBorder="1" applyAlignment="1">
      <alignment/>
    </xf>
    <xf numFmtId="171" fontId="0" fillId="23" borderId="18" xfId="0" applyNumberFormat="1" applyFill="1" applyBorder="1" applyAlignment="1">
      <alignment/>
    </xf>
    <xf numFmtId="43" fontId="0" fillId="23" borderId="18" xfId="0" applyNumberFormat="1" applyFill="1" applyBorder="1" applyAlignment="1">
      <alignment/>
    </xf>
    <xf numFmtId="0" fontId="0" fillId="23" borderId="18" xfId="0" applyFont="1" applyFill="1" applyBorder="1" applyAlignment="1">
      <alignment/>
    </xf>
    <xf numFmtId="0" fontId="0" fillId="23" borderId="18" xfId="0" applyFill="1" applyBorder="1" applyAlignment="1">
      <alignment/>
    </xf>
    <xf numFmtId="49" fontId="1" fillId="55" borderId="18" xfId="0" applyNumberFormat="1" applyFont="1" applyFill="1" applyBorder="1" applyAlignment="1">
      <alignment horizontal="left"/>
    </xf>
    <xf numFmtId="171" fontId="0" fillId="55" borderId="18" xfId="0" applyNumberFormat="1" applyFill="1" applyBorder="1" applyAlignment="1">
      <alignment/>
    </xf>
    <xf numFmtId="0" fontId="0" fillId="55" borderId="18" xfId="0" applyFill="1" applyBorder="1" applyAlignment="1">
      <alignment/>
    </xf>
    <xf numFmtId="171" fontId="0" fillId="21" borderId="18" xfId="0" applyNumberFormat="1" applyFill="1" applyBorder="1" applyAlignment="1">
      <alignment/>
    </xf>
    <xf numFmtId="0" fontId="0" fillId="21" borderId="18" xfId="0" applyFill="1" applyBorder="1" applyAlignment="1">
      <alignment/>
    </xf>
    <xf numFmtId="0" fontId="0" fillId="12" borderId="18" xfId="0" applyFill="1" applyBorder="1" applyAlignment="1">
      <alignment/>
    </xf>
    <xf numFmtId="49" fontId="1" fillId="33" borderId="18" xfId="0" applyNumberFormat="1" applyFont="1" applyFill="1" applyBorder="1" applyAlignment="1">
      <alignment horizontal="left"/>
    </xf>
    <xf numFmtId="43" fontId="1" fillId="33" borderId="18" xfId="0" applyNumberFormat="1" applyFont="1" applyFill="1" applyBorder="1" applyAlignment="1">
      <alignment horizontal="right"/>
    </xf>
    <xf numFmtId="171" fontId="0" fillId="33" borderId="18" xfId="0" applyNumberFormat="1" applyFill="1" applyBorder="1" applyAlignment="1">
      <alignment/>
    </xf>
    <xf numFmtId="43" fontId="71" fillId="0" borderId="18" xfId="0" applyNumberFormat="1" applyFont="1" applyBorder="1" applyAlignment="1">
      <alignment/>
    </xf>
    <xf numFmtId="0" fontId="106" fillId="0" borderId="18" xfId="0" applyNumberFormat="1" applyFont="1" applyFill="1" applyBorder="1" applyAlignment="1">
      <alignment horizontal="center" vertical="top" wrapText="1" readingOrder="1"/>
    </xf>
    <xf numFmtId="200" fontId="106" fillId="0" borderId="18" xfId="0" applyNumberFormat="1" applyFont="1" applyFill="1" applyBorder="1" applyAlignment="1">
      <alignment horizontal="right" vertical="top" wrapText="1" readingOrder="1"/>
    </xf>
    <xf numFmtId="200" fontId="107" fillId="0" borderId="18" xfId="0" applyNumberFormat="1" applyFont="1" applyFill="1" applyBorder="1" applyAlignment="1">
      <alignment horizontal="right" vertical="top" wrapText="1" readingOrder="1"/>
    </xf>
    <xf numFmtId="200" fontId="23" fillId="0" borderId="18" xfId="0" applyNumberFormat="1" applyFont="1" applyBorder="1" applyAlignment="1">
      <alignment/>
    </xf>
    <xf numFmtId="200" fontId="0" fillId="0" borderId="18" xfId="0" applyNumberFormat="1" applyBorder="1" applyAlignment="1">
      <alignment/>
    </xf>
    <xf numFmtId="0" fontId="105" fillId="0" borderId="18" xfId="0" applyFont="1" applyFill="1" applyBorder="1" applyAlignment="1" quotePrefix="1">
      <alignment/>
    </xf>
    <xf numFmtId="0" fontId="0" fillId="0" borderId="18" xfId="0" applyFont="1" applyFill="1" applyBorder="1" applyAlignment="1" quotePrefix="1">
      <alignment horizontal="right"/>
    </xf>
    <xf numFmtId="0" fontId="0" fillId="0" borderId="18" xfId="0" applyFont="1" applyBorder="1" applyAlignment="1" quotePrefix="1">
      <alignment/>
    </xf>
    <xf numFmtId="0" fontId="0" fillId="0" borderId="18" xfId="0" applyFont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 quotePrefix="1">
      <alignment horizontal="left"/>
    </xf>
    <xf numFmtId="43" fontId="0" fillId="8" borderId="18" xfId="84" applyFont="1" applyFill="1" applyBorder="1" applyAlignment="1">
      <alignment/>
    </xf>
    <xf numFmtId="43" fontId="72" fillId="0" borderId="18" xfId="0" applyNumberFormat="1" applyFont="1" applyBorder="1" applyAlignment="1">
      <alignment/>
    </xf>
    <xf numFmtId="43" fontId="41" fillId="0" borderId="18" xfId="0" applyNumberFormat="1" applyFont="1" applyFill="1" applyBorder="1" applyAlignment="1">
      <alignment/>
    </xf>
    <xf numFmtId="197" fontId="0" fillId="0" borderId="18" xfId="84" applyNumberFormat="1" applyFont="1" applyFill="1" applyBorder="1" applyAlignment="1" quotePrefix="1">
      <alignment horizontal="right"/>
    </xf>
    <xf numFmtId="0" fontId="0" fillId="0" borderId="18" xfId="0" applyFont="1" applyFill="1" applyBorder="1" applyAlignment="1" quotePrefix="1">
      <alignment/>
    </xf>
    <xf numFmtId="43" fontId="105" fillId="0" borderId="18" xfId="0" applyNumberFormat="1" applyFont="1" applyFill="1" applyBorder="1" applyAlignment="1">
      <alignment/>
    </xf>
    <xf numFmtId="0" fontId="0" fillId="57" borderId="18" xfId="0" applyFont="1" applyFill="1" applyBorder="1" applyAlignment="1">
      <alignment/>
    </xf>
    <xf numFmtId="0" fontId="0" fillId="57" borderId="18" xfId="0" applyFill="1" applyBorder="1" applyAlignment="1">
      <alignment/>
    </xf>
    <xf numFmtId="43" fontId="105" fillId="57" borderId="18" xfId="84" applyFont="1" applyFill="1" applyBorder="1" applyAlignment="1">
      <alignment/>
    </xf>
    <xf numFmtId="0" fontId="105" fillId="57" borderId="18" xfId="0" applyFont="1" applyFill="1" applyBorder="1" applyAlignment="1" quotePrefix="1">
      <alignment/>
    </xf>
    <xf numFmtId="43" fontId="105" fillId="57" borderId="18" xfId="0" applyNumberFormat="1" applyFont="1" applyFill="1" applyBorder="1" applyAlignment="1">
      <alignment/>
    </xf>
    <xf numFmtId="0" fontId="105" fillId="56" borderId="18" xfId="0" applyFont="1" applyFill="1" applyBorder="1" applyAlignment="1">
      <alignment/>
    </xf>
    <xf numFmtId="43" fontId="105" fillId="56" borderId="18" xfId="0" applyNumberFormat="1" applyFont="1" applyFill="1" applyBorder="1" applyAlignment="1">
      <alignment/>
    </xf>
    <xf numFmtId="0" fontId="105" fillId="56" borderId="18" xfId="0" applyFont="1" applyFill="1" applyBorder="1" applyAlignment="1" quotePrefix="1">
      <alignment/>
    </xf>
    <xf numFmtId="43" fontId="105" fillId="56" borderId="18" xfId="0" applyNumberFormat="1" applyFont="1" applyFill="1" applyBorder="1" applyAlignment="1" quotePrefix="1">
      <alignment/>
    </xf>
    <xf numFmtId="0" fontId="105" fillId="57" borderId="18" xfId="0" applyFont="1" applyFill="1" applyBorder="1" applyAlignment="1">
      <alignment/>
    </xf>
    <xf numFmtId="43" fontId="41" fillId="0" borderId="18" xfId="84" applyFont="1" applyBorder="1" applyAlignment="1">
      <alignment/>
    </xf>
    <xf numFmtId="0" fontId="105" fillId="57" borderId="18" xfId="0" applyFont="1" applyFill="1" applyBorder="1" applyAlignment="1">
      <alignment horizontal="left"/>
    </xf>
    <xf numFmtId="0" fontId="0" fillId="8" borderId="18" xfId="0" applyFill="1" applyBorder="1" applyAlignment="1">
      <alignment/>
    </xf>
    <xf numFmtId="43" fontId="0" fillId="8" borderId="18" xfId="0" applyNumberFormat="1" applyFont="1" applyFill="1" applyBorder="1" applyAlignment="1">
      <alignment/>
    </xf>
    <xf numFmtId="0" fontId="0" fillId="8" borderId="18" xfId="0" applyFill="1" applyBorder="1" applyAlignment="1">
      <alignment horizontal="left"/>
    </xf>
    <xf numFmtId="0" fontId="105" fillId="56" borderId="18" xfId="0" applyFont="1" applyFill="1" applyBorder="1" applyAlignment="1">
      <alignment horizontal="left"/>
    </xf>
    <xf numFmtId="43" fontId="105" fillId="8" borderId="18" xfId="0" applyNumberFormat="1" applyFont="1" applyFill="1" applyBorder="1" applyAlignment="1">
      <alignment/>
    </xf>
    <xf numFmtId="0" fontId="105" fillId="8" borderId="18" xfId="0" applyFont="1" applyFill="1" applyBorder="1" applyAlignment="1">
      <alignment/>
    </xf>
    <xf numFmtId="200" fontId="108" fillId="0" borderId="18" xfId="0" applyNumberFormat="1" applyFont="1" applyFill="1" applyBorder="1" applyAlignment="1">
      <alignment horizontal="right" vertical="top" wrapText="1" readingOrder="1"/>
    </xf>
    <xf numFmtId="0" fontId="34" fillId="0" borderId="0" xfId="0" applyFont="1" applyBorder="1" applyAlignment="1">
      <alignment horizontal="justify" wrapText="1"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43" fontId="46" fillId="0" borderId="0" xfId="84" applyFont="1" applyFill="1" applyAlignment="1">
      <alignment horizontal="center"/>
    </xf>
    <xf numFmtId="0" fontId="46" fillId="0" borderId="55" xfId="0" applyFont="1" applyFill="1" applyBorder="1" applyAlignment="1">
      <alignment horizontal="center"/>
    </xf>
    <xf numFmtId="0" fontId="85" fillId="0" borderId="0" xfId="0" applyFont="1" applyFill="1" applyBorder="1" applyAlignment="1">
      <alignment horizontal="center"/>
    </xf>
    <xf numFmtId="0" fontId="89" fillId="0" borderId="0" xfId="0" applyFont="1" applyFill="1" applyBorder="1" applyAlignment="1">
      <alignment horizontal="center"/>
    </xf>
    <xf numFmtId="43" fontId="28" fillId="0" borderId="0" xfId="84" applyFont="1" applyFill="1" applyAlignment="1">
      <alignment horizontal="center"/>
    </xf>
    <xf numFmtId="49" fontId="24" fillId="0" borderId="30" xfId="0" applyNumberFormat="1" applyFont="1" applyFill="1" applyBorder="1" applyAlignment="1">
      <alignment horizontal="center"/>
    </xf>
    <xf numFmtId="49" fontId="24" fillId="0" borderId="23" xfId="0" applyNumberFormat="1" applyFont="1" applyFill="1" applyBorder="1" applyAlignment="1">
      <alignment horizontal="center"/>
    </xf>
    <xf numFmtId="0" fontId="23" fillId="0" borderId="55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49" fontId="24" fillId="0" borderId="30" xfId="0" applyNumberFormat="1" applyFont="1" applyBorder="1" applyAlignment="1">
      <alignment horizontal="center"/>
    </xf>
    <xf numFmtId="49" fontId="24" fillId="0" borderId="31" xfId="0" applyNumberFormat="1" applyFont="1" applyBorder="1" applyAlignment="1">
      <alignment horizontal="center"/>
    </xf>
    <xf numFmtId="49" fontId="24" fillId="0" borderId="23" xfId="0" applyNumberFormat="1" applyFont="1" applyBorder="1" applyAlignment="1">
      <alignment horizontal="center"/>
    </xf>
    <xf numFmtId="0" fontId="23" fillId="54" borderId="45" xfId="0" applyNumberFormat="1" applyFont="1" applyFill="1" applyBorder="1" applyAlignment="1">
      <alignment horizontal="center"/>
    </xf>
    <xf numFmtId="0" fontId="23" fillId="54" borderId="21" xfId="0" applyNumberFormat="1" applyFont="1" applyFill="1" applyBorder="1" applyAlignment="1">
      <alignment horizontal="center"/>
    </xf>
    <xf numFmtId="0" fontId="23" fillId="54" borderId="60" xfId="0" applyNumberFormat="1" applyFont="1" applyFill="1" applyBorder="1" applyAlignment="1">
      <alignment horizontal="center"/>
    </xf>
    <xf numFmtId="49" fontId="24" fillId="0" borderId="31" xfId="0" applyNumberFormat="1" applyFont="1" applyFill="1" applyBorder="1" applyAlignment="1">
      <alignment horizontal="center"/>
    </xf>
    <xf numFmtId="0" fontId="106" fillId="0" borderId="46" xfId="0" applyNumberFormat="1" applyFont="1" applyFill="1" applyBorder="1" applyAlignment="1">
      <alignment horizontal="center" vertical="top" wrapText="1" readingOrder="1"/>
    </xf>
    <xf numFmtId="0" fontId="54" fillId="0" borderId="61" xfId="0" applyNumberFormat="1" applyFont="1" applyFill="1" applyBorder="1" applyAlignment="1">
      <alignment vertical="top" wrapText="1"/>
    </xf>
    <xf numFmtId="0" fontId="106" fillId="0" borderId="46" xfId="0" applyNumberFormat="1" applyFont="1" applyFill="1" applyBorder="1" applyAlignment="1">
      <alignment vertical="top" wrapText="1" readingOrder="1"/>
    </xf>
    <xf numFmtId="0" fontId="23" fillId="0" borderId="0" xfId="0" applyFont="1" applyAlignment="1">
      <alignment horizontal="center"/>
    </xf>
    <xf numFmtId="0" fontId="106" fillId="0" borderId="18" xfId="0" applyNumberFormat="1" applyFont="1" applyFill="1" applyBorder="1" applyAlignment="1">
      <alignment horizontal="center" vertical="top" wrapText="1" readingOrder="1"/>
    </xf>
    <xf numFmtId="0" fontId="54" fillId="0" borderId="18" xfId="0" applyNumberFormat="1" applyFont="1" applyFill="1" applyBorder="1" applyAlignment="1">
      <alignment vertical="top" wrapText="1"/>
    </xf>
    <xf numFmtId="0" fontId="106" fillId="0" borderId="18" xfId="0" applyNumberFormat="1" applyFont="1" applyFill="1" applyBorder="1" applyAlignment="1">
      <alignment vertical="top" wrapText="1" readingOrder="1"/>
    </xf>
    <xf numFmtId="0" fontId="54" fillId="0" borderId="18" xfId="0" applyNumberFormat="1" applyFont="1" applyFill="1" applyBorder="1" applyAlignment="1">
      <alignment vertical="top" wrapText="1"/>
    </xf>
    <xf numFmtId="0" fontId="0" fillId="0" borderId="18" xfId="0" applyFont="1" applyBorder="1" applyAlignment="1">
      <alignment horizontal="center"/>
    </xf>
    <xf numFmtId="17" fontId="23" fillId="0" borderId="0" xfId="0" applyNumberFormat="1" applyFont="1" applyAlignment="1" quotePrefix="1">
      <alignment horizontal="center"/>
    </xf>
    <xf numFmtId="17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 wrapText="1"/>
    </xf>
    <xf numFmtId="0" fontId="53" fillId="0" borderId="30" xfId="0" applyFont="1" applyBorder="1" applyAlignment="1">
      <alignment horizontal="center" wrapText="1"/>
    </xf>
    <xf numFmtId="0" fontId="53" fillId="0" borderId="31" xfId="0" applyFont="1" applyBorder="1" applyAlignment="1">
      <alignment horizontal="center" wrapText="1"/>
    </xf>
    <xf numFmtId="0" fontId="53" fillId="0" borderId="23" xfId="0" applyFont="1" applyBorder="1" applyAlignment="1">
      <alignment horizontal="center" wrapText="1"/>
    </xf>
    <xf numFmtId="0" fontId="51" fillId="0" borderId="0" xfId="0" applyFont="1" applyAlignment="1">
      <alignment horizontal="center"/>
    </xf>
    <xf numFmtId="43" fontId="51" fillId="0" borderId="0" xfId="84" applyFont="1" applyAlignment="1">
      <alignment horizontal="center"/>
    </xf>
    <xf numFmtId="0" fontId="51" fillId="0" borderId="0" xfId="0" applyFont="1" applyAlignment="1">
      <alignment horizont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o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Followed Hyperlink" xfId="80"/>
    <cellStyle name="Incorrecto" xfId="81"/>
    <cellStyle name="Input" xfId="82"/>
    <cellStyle name="Linked Cell" xfId="83"/>
    <cellStyle name="Comma" xfId="84"/>
    <cellStyle name="Comma [0]" xfId="85"/>
    <cellStyle name="Millares 2 2" xfId="86"/>
    <cellStyle name="Millares 3" xfId="87"/>
    <cellStyle name="Currency" xfId="88"/>
    <cellStyle name="Currency [0]" xfId="89"/>
    <cellStyle name="Neutral" xfId="90"/>
    <cellStyle name="Normal 3" xfId="91"/>
    <cellStyle name="Notas" xfId="92"/>
    <cellStyle name="Note" xfId="93"/>
    <cellStyle name="Output" xfId="94"/>
    <cellStyle name="Percent" xfId="95"/>
    <cellStyle name="Salida" xfId="96"/>
    <cellStyle name="Texto de advertencia" xfId="97"/>
    <cellStyle name="Texto explicativo" xfId="98"/>
    <cellStyle name="Title" xfId="99"/>
    <cellStyle name="Título" xfId="100"/>
    <cellStyle name="Título 2" xfId="101"/>
    <cellStyle name="Título 3" xfId="102"/>
    <cellStyle name="Total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tbn0.google.com/images?q=tbn:ayjX6Bm_mXM9DM:http://www.seescyt.gov.do/Galera%20de%20imgenes%20del%20sitio%20principal/escudo%20nacional.jpg" TargetMode="External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http://tbn0.google.com/images?q=tbn:ayjX6Bm_mXM9DM:http://www.seescyt.gov.do/Galera%20de%20imgenes%20del%20sitio%20principal/escudo%20nacional.jpg" TargetMode="External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http://tbn0.google.com/images?q=tbn:ayjX6Bm_mXM9DM:http://www.seescyt.gov.do/Galera%20de%20imgenes%20del%20sitio%20principal/escudo%20nacional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tbn0.google.com/images?q=tbn:ayjX6Bm_mXM9DM:http://www.seescyt.gov.do/Galera%20de%20imgenes%20del%20sitio%20principal/escudo%20nacional.jpg" TargetMode="External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http://tbn0.google.com/images?q=tbn:ayjX6Bm_mXM9DM:http://www.seescyt.gov.do/Galera%20de%20imgenes%20del%20sitio%20principal/escudo%20nacional.jpg" TargetMode="External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http://tbn0.google.com/images?q=tbn:ayjX6Bm_mXM9DM:http://www.seescyt.gov.do/Galera%20de%20imgenes%20del%20sitio%20principal/escudo%20nacional.jpg" TargetMode="External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http://tbn0.google.com/images?q=tbn:ayjX6Bm_mXM9DM:http://www.seescyt.gov.do/Galera%20de%20imgenes%20del%20sitio%20principal/escudo%20nacional.jpg" TargetMode="External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pic>
      <xdr:nvPicPr>
        <xdr:cNvPr id="1" name="Picture 1" descr="http://tbn0.google.com/images?q=tbn:ayjX6Bm_mXM9DM:http://www.seescyt.gov.do/Galera%20de%20imgenes%20del%20sitio%20principal/escudo%20nacional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143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pic>
      <xdr:nvPicPr>
        <xdr:cNvPr id="2" name="Picture 2" descr="http://tbn0.google.com/images?q=tbn:ayjX6Bm_mXM9DM:http://www.seescyt.gov.do/Galera%20de%20imgenes%20del%20sitio%20principal/escudo%20nacional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143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2714625</xdr:colOff>
      <xdr:row>8</xdr:row>
      <xdr:rowOff>0</xdr:rowOff>
    </xdr:from>
    <xdr:to>
      <xdr:col>1</xdr:col>
      <xdr:colOff>3048000</xdr:colOff>
      <xdr:row>8</xdr:row>
      <xdr:rowOff>0</xdr:rowOff>
    </xdr:to>
    <xdr:pic>
      <xdr:nvPicPr>
        <xdr:cNvPr id="3" name="Picture 3" descr="http://tbn0.google.com/images?q=tbn:ayjX6Bm_mXM9DM:http://www.seescyt.gov.do/Galera%20de%20imgenes%20del%20sitio%20principal/escudo%20nacional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333750" y="1143000"/>
          <a:ext cx="333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2647950</xdr:colOff>
      <xdr:row>8</xdr:row>
      <xdr:rowOff>0</xdr:rowOff>
    </xdr:from>
    <xdr:to>
      <xdr:col>1</xdr:col>
      <xdr:colOff>3028950</xdr:colOff>
      <xdr:row>8</xdr:row>
      <xdr:rowOff>0</xdr:rowOff>
    </xdr:to>
    <xdr:pic>
      <xdr:nvPicPr>
        <xdr:cNvPr id="4" name="Picture 4" descr="http://tbn0.google.com/images?q=tbn:ayjX6Bm_mXM9DM:http://www.seescyt.gov.do/Galera%20de%20imgenes%20del%20sitio%20principal/escudo%20nacional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267075" y="1143000"/>
          <a:ext cx="381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0</xdr:row>
      <xdr:rowOff>0</xdr:rowOff>
    </xdr:from>
    <xdr:to>
      <xdr:col>1</xdr:col>
      <xdr:colOff>2552700</xdr:colOff>
      <xdr:row>8</xdr:row>
      <xdr:rowOff>9525</xdr:rowOff>
    </xdr:to>
    <xdr:pic>
      <xdr:nvPicPr>
        <xdr:cNvPr id="5" name="Imagen 5" descr="Logotipo, nombre de la empresa&#10;&#10;Descripción generada automáticam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0"/>
          <a:ext cx="17526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733425</xdr:colOff>
      <xdr:row>0</xdr:row>
      <xdr:rowOff>0</xdr:rowOff>
    </xdr:from>
    <xdr:to>
      <xdr:col>6</xdr:col>
      <xdr:colOff>2438400</xdr:colOff>
      <xdr:row>7</xdr:row>
      <xdr:rowOff>123825</xdr:rowOff>
    </xdr:to>
    <xdr:pic>
      <xdr:nvPicPr>
        <xdr:cNvPr id="6" name="Imagen 7" descr="Logotipo, nombre de la empresa&#10;&#10;Descripción generada automáticam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0" y="0"/>
          <a:ext cx="17049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885825</xdr:colOff>
      <xdr:row>4</xdr:row>
      <xdr:rowOff>85725</xdr:rowOff>
    </xdr:from>
    <xdr:to>
      <xdr:col>0</xdr:col>
      <xdr:colOff>885825</xdr:colOff>
      <xdr:row>7</xdr:row>
      <xdr:rowOff>114300</xdr:rowOff>
    </xdr:to>
    <xdr:pic>
      <xdr:nvPicPr>
        <xdr:cNvPr id="1" name="Picture 8" descr="http://tbn0.google.com/images?q=tbn:ayjX6Bm_mXM9DM:http://www.seescyt.gov.do/Galera%20de%20imgenes%20del%20sitio%20principal/escudo%20nacional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85825" y="752475"/>
          <a:ext cx="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1743075</xdr:colOff>
      <xdr:row>1</xdr:row>
      <xdr:rowOff>114300</xdr:rowOff>
    </xdr:from>
    <xdr:to>
      <xdr:col>2</xdr:col>
      <xdr:colOff>1162050</xdr:colOff>
      <xdr:row>8</xdr:row>
      <xdr:rowOff>57150</xdr:rowOff>
    </xdr:to>
    <xdr:pic>
      <xdr:nvPicPr>
        <xdr:cNvPr id="2" name="Imagen 4" descr="Logotipo, nombre de la empresa&#10;&#10;Descripción generada automáticam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" y="276225"/>
          <a:ext cx="16668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723900</xdr:colOff>
      <xdr:row>0</xdr:row>
      <xdr:rowOff>28575</xdr:rowOff>
    </xdr:from>
    <xdr:to>
      <xdr:col>7</xdr:col>
      <xdr:colOff>685800</xdr:colOff>
      <xdr:row>9</xdr:row>
      <xdr:rowOff>47625</xdr:rowOff>
    </xdr:to>
    <xdr:pic>
      <xdr:nvPicPr>
        <xdr:cNvPr id="1" name="Imagen 1" descr="Logotipo, nombre de la empresa&#10;&#10;Descripción generada automá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28575"/>
          <a:ext cx="22479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904875</xdr:colOff>
      <xdr:row>38</xdr:row>
      <xdr:rowOff>123825</xdr:rowOff>
    </xdr:from>
    <xdr:to>
      <xdr:col>4</xdr:col>
      <xdr:colOff>1009650</xdr:colOff>
      <xdr:row>47</xdr:row>
      <xdr:rowOff>142875</xdr:rowOff>
    </xdr:to>
    <xdr:pic>
      <xdr:nvPicPr>
        <xdr:cNvPr id="1" name="Imagen 1" descr="Logotipo, nombre de la empresa&#10;&#10;Descripción generada automá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6276975"/>
          <a:ext cx="22479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47625</xdr:rowOff>
    </xdr:from>
    <xdr:to>
      <xdr:col>4</xdr:col>
      <xdr:colOff>600075</xdr:colOff>
      <xdr:row>6</xdr:row>
      <xdr:rowOff>133350</xdr:rowOff>
    </xdr:to>
    <xdr:pic>
      <xdr:nvPicPr>
        <xdr:cNvPr id="1" name="Imagen 2" descr="Logotipo, nombre de la empresa&#10;&#10;Descripción generada automá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47625"/>
          <a:ext cx="16097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114300</xdr:rowOff>
    </xdr:from>
    <xdr:to>
      <xdr:col>3</xdr:col>
      <xdr:colOff>542925</xdr:colOff>
      <xdr:row>8</xdr:row>
      <xdr:rowOff>9525</xdr:rowOff>
    </xdr:to>
    <xdr:pic>
      <xdr:nvPicPr>
        <xdr:cNvPr id="1" name="Imagen 1" descr="Logotipo, nombre de la empresa&#10;&#10;Descripción generada automá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114300"/>
          <a:ext cx="1809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914400</xdr:colOff>
      <xdr:row>0</xdr:row>
      <xdr:rowOff>28575</xdr:rowOff>
    </xdr:from>
    <xdr:to>
      <xdr:col>5</xdr:col>
      <xdr:colOff>542925</xdr:colOff>
      <xdr:row>6</xdr:row>
      <xdr:rowOff>104775</xdr:rowOff>
    </xdr:to>
    <xdr:pic>
      <xdr:nvPicPr>
        <xdr:cNvPr id="1" name="Imagen 1" descr="Logotipo, nombre de la empresa&#10;&#10;Descripción generada automá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8575"/>
          <a:ext cx="16002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704850</xdr:colOff>
      <xdr:row>0</xdr:row>
      <xdr:rowOff>66675</xdr:rowOff>
    </xdr:from>
    <xdr:to>
      <xdr:col>7</xdr:col>
      <xdr:colOff>438150</xdr:colOff>
      <xdr:row>9</xdr:row>
      <xdr:rowOff>47625</xdr:rowOff>
    </xdr:to>
    <xdr:pic>
      <xdr:nvPicPr>
        <xdr:cNvPr id="1" name="Imagen 2" descr="Logotipo, nombre de la empresa&#10;&#10;Descripción generada automá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66675"/>
          <a:ext cx="2286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404</xdr:row>
      <xdr:rowOff>19050</xdr:rowOff>
    </xdr:from>
    <xdr:to>
      <xdr:col>3</xdr:col>
      <xdr:colOff>923925</xdr:colOff>
      <xdr:row>409</xdr:row>
      <xdr:rowOff>152400</xdr:rowOff>
    </xdr:to>
    <xdr:pic>
      <xdr:nvPicPr>
        <xdr:cNvPr id="1" name="Imagen 1" descr="Logotipo, nombre de la empresa&#10;&#10;Descripción generada automá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85753575"/>
          <a:ext cx="14382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355</xdr:row>
      <xdr:rowOff>95250</xdr:rowOff>
    </xdr:from>
    <xdr:to>
      <xdr:col>3</xdr:col>
      <xdr:colOff>1114425</xdr:colOff>
      <xdr:row>362</xdr:row>
      <xdr:rowOff>152400</xdr:rowOff>
    </xdr:to>
    <xdr:pic>
      <xdr:nvPicPr>
        <xdr:cNvPr id="2" name="Imagen 2" descr="Logotipo, nombre de la empresa&#10;&#10;Descripción generada automá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77866875"/>
          <a:ext cx="1809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1495425</xdr:colOff>
      <xdr:row>363</xdr:row>
      <xdr:rowOff>123825</xdr:rowOff>
    </xdr:from>
    <xdr:to>
      <xdr:col>12</xdr:col>
      <xdr:colOff>47625</xdr:colOff>
      <xdr:row>371</xdr:row>
      <xdr:rowOff>19050</xdr:rowOff>
    </xdr:to>
    <xdr:pic>
      <xdr:nvPicPr>
        <xdr:cNvPr id="3" name="Imagen 3" descr="Logotipo, nombre de la empresa&#10;&#10;Descripción generada automá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79190850"/>
          <a:ext cx="1809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1362075</xdr:colOff>
      <xdr:row>314</xdr:row>
      <xdr:rowOff>104775</xdr:rowOff>
    </xdr:from>
    <xdr:to>
      <xdr:col>12</xdr:col>
      <xdr:colOff>47625</xdr:colOff>
      <xdr:row>322</xdr:row>
      <xdr:rowOff>0</xdr:rowOff>
    </xdr:to>
    <xdr:pic>
      <xdr:nvPicPr>
        <xdr:cNvPr id="4" name="Imagen 4" descr="Logotipo, nombre de la empresa&#10;&#10;Descripción generada automá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71208900"/>
          <a:ext cx="19431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704850</xdr:colOff>
      <xdr:row>0</xdr:row>
      <xdr:rowOff>142875</xdr:rowOff>
    </xdr:from>
    <xdr:to>
      <xdr:col>3</xdr:col>
      <xdr:colOff>990600</xdr:colOff>
      <xdr:row>8</xdr:row>
      <xdr:rowOff>38100</xdr:rowOff>
    </xdr:to>
    <xdr:pic>
      <xdr:nvPicPr>
        <xdr:cNvPr id="5" name="Imagen 5" descr="Logotipo, nombre de la empresa&#10;&#10;Descripción generada automá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142875"/>
          <a:ext cx="1809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33</xdr:row>
      <xdr:rowOff>85725</xdr:rowOff>
    </xdr:from>
    <xdr:to>
      <xdr:col>0</xdr:col>
      <xdr:colOff>723900</xdr:colOff>
      <xdr:row>36</xdr:row>
      <xdr:rowOff>114300</xdr:rowOff>
    </xdr:to>
    <xdr:pic>
      <xdr:nvPicPr>
        <xdr:cNvPr id="1" name="Picture 8" descr="http://tbn0.google.com/images?q=tbn:ayjX6Bm_mXM9DM:http://www.seescyt.gov.do/Galera%20de%20imgenes%20del%20sitio%20principal/escudo%20nacional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3900" y="6010275"/>
          <a:ext cx="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1133475</xdr:colOff>
      <xdr:row>32</xdr:row>
      <xdr:rowOff>85725</xdr:rowOff>
    </xdr:from>
    <xdr:to>
      <xdr:col>5</xdr:col>
      <xdr:colOff>333375</xdr:colOff>
      <xdr:row>36</xdr:row>
      <xdr:rowOff>123825</xdr:rowOff>
    </xdr:to>
    <xdr:pic>
      <xdr:nvPicPr>
        <xdr:cNvPr id="2" name="Picture 8" descr="http://tbn0.google.com/images?q=tbn:ayjX6Bm_mXM9DM:http://www.seescyt.gov.do/Galera%20de%20imgenes%20del%20sitio%20principal/escudo%20nacional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962650" y="5848350"/>
          <a:ext cx="8953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723900</xdr:colOff>
      <xdr:row>55</xdr:row>
      <xdr:rowOff>85725</xdr:rowOff>
    </xdr:from>
    <xdr:to>
      <xdr:col>0</xdr:col>
      <xdr:colOff>723900</xdr:colOff>
      <xdr:row>56</xdr:row>
      <xdr:rowOff>0</xdr:rowOff>
    </xdr:to>
    <xdr:pic>
      <xdr:nvPicPr>
        <xdr:cNvPr id="3" name="Picture 8" descr="http://tbn0.google.com/images?q=tbn:ayjX6Bm_mXM9DM:http://www.seescyt.gov.do/Galera%20de%20imgenes%20del%20sitio%20principal/escudo%20nacional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3900" y="1063942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723900</xdr:colOff>
      <xdr:row>65</xdr:row>
      <xdr:rowOff>85725</xdr:rowOff>
    </xdr:from>
    <xdr:to>
      <xdr:col>0</xdr:col>
      <xdr:colOff>723900</xdr:colOff>
      <xdr:row>68</xdr:row>
      <xdr:rowOff>114300</xdr:rowOff>
    </xdr:to>
    <xdr:pic>
      <xdr:nvPicPr>
        <xdr:cNvPr id="4" name="Picture 8" descr="http://tbn0.google.com/images?q=tbn:ayjX6Bm_mXM9DM:http://www.seescyt.gov.do/Galera%20de%20imgenes%20del%20sitio%20principal/escudo%20nacional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3900" y="12258675"/>
          <a:ext cx="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1190625</xdr:colOff>
      <xdr:row>65</xdr:row>
      <xdr:rowOff>57150</xdr:rowOff>
    </xdr:from>
    <xdr:to>
      <xdr:col>5</xdr:col>
      <xdr:colOff>428625</xdr:colOff>
      <xdr:row>68</xdr:row>
      <xdr:rowOff>133350</xdr:rowOff>
    </xdr:to>
    <xdr:pic>
      <xdr:nvPicPr>
        <xdr:cNvPr id="5" name="Picture 8" descr="http://tbn0.google.com/images?q=tbn:ayjX6Bm_mXM9DM:http://www.seescyt.gov.do/Galera%20de%20imgenes%20del%20sitio%20principal/escudo%20nacional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19800" y="12230100"/>
          <a:ext cx="933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723900</xdr:colOff>
      <xdr:row>102</xdr:row>
      <xdr:rowOff>85725</xdr:rowOff>
    </xdr:from>
    <xdr:to>
      <xdr:col>0</xdr:col>
      <xdr:colOff>723900</xdr:colOff>
      <xdr:row>105</xdr:row>
      <xdr:rowOff>114300</xdr:rowOff>
    </xdr:to>
    <xdr:pic>
      <xdr:nvPicPr>
        <xdr:cNvPr id="6" name="Picture 8" descr="http://tbn0.google.com/images?q=tbn:ayjX6Bm_mXM9DM:http://www.seescyt.gov.do/Galera%20de%20imgenes%20del%20sitio%20principal/escudo%20nacional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3900" y="19631025"/>
          <a:ext cx="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1200150</xdr:colOff>
      <xdr:row>101</xdr:row>
      <xdr:rowOff>0</xdr:rowOff>
    </xdr:from>
    <xdr:to>
      <xdr:col>5</xdr:col>
      <xdr:colOff>400050</xdr:colOff>
      <xdr:row>105</xdr:row>
      <xdr:rowOff>38100</xdr:rowOff>
    </xdr:to>
    <xdr:pic>
      <xdr:nvPicPr>
        <xdr:cNvPr id="7" name="Picture 8" descr="http://tbn0.google.com/images?q=tbn:ayjX6Bm_mXM9DM:http://www.seescyt.gov.do/Galera%20de%20imgenes%20del%20sitio%20principal/escudo%20nacional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29325" y="19383375"/>
          <a:ext cx="8953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723900</xdr:colOff>
      <xdr:row>143</xdr:row>
      <xdr:rowOff>85725</xdr:rowOff>
    </xdr:from>
    <xdr:to>
      <xdr:col>0</xdr:col>
      <xdr:colOff>723900</xdr:colOff>
      <xdr:row>146</xdr:row>
      <xdr:rowOff>114300</xdr:rowOff>
    </xdr:to>
    <xdr:pic>
      <xdr:nvPicPr>
        <xdr:cNvPr id="8" name="Picture 8" descr="http://tbn0.google.com/images?q=tbn:ayjX6Bm_mXM9DM:http://www.seescyt.gov.do/Galera%20de%20imgenes%20del%20sitio%20principal/escudo%20nacional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3900" y="27336750"/>
          <a:ext cx="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1238250</xdr:colOff>
      <xdr:row>142</xdr:row>
      <xdr:rowOff>9525</xdr:rowOff>
    </xdr:from>
    <xdr:to>
      <xdr:col>5</xdr:col>
      <xdr:colOff>438150</xdr:colOff>
      <xdr:row>146</xdr:row>
      <xdr:rowOff>47625</xdr:rowOff>
    </xdr:to>
    <xdr:pic>
      <xdr:nvPicPr>
        <xdr:cNvPr id="9" name="Picture 8" descr="http://tbn0.google.com/images?q=tbn:ayjX6Bm_mXM9DM:http://www.seescyt.gov.do/Galera%20de%20imgenes%20del%20sitio%20principal/escudo%20nacional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67425" y="27098625"/>
          <a:ext cx="8953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723900</xdr:colOff>
      <xdr:row>1</xdr:row>
      <xdr:rowOff>85725</xdr:rowOff>
    </xdr:from>
    <xdr:to>
      <xdr:col>0</xdr:col>
      <xdr:colOff>723900</xdr:colOff>
      <xdr:row>4</xdr:row>
      <xdr:rowOff>114300</xdr:rowOff>
    </xdr:to>
    <xdr:pic>
      <xdr:nvPicPr>
        <xdr:cNvPr id="10" name="Picture 8" descr="http://tbn0.google.com/images?q=tbn:ayjX6Bm_mXM9DM:http://www.seescyt.gov.do/Galera%20de%20imgenes%20del%20sitio%20principal/escudo%20nacional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3900" y="247650"/>
          <a:ext cx="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1343025</xdr:colOff>
      <xdr:row>0</xdr:row>
      <xdr:rowOff>152400</xdr:rowOff>
    </xdr:from>
    <xdr:to>
      <xdr:col>5</xdr:col>
      <xdr:colOff>542925</xdr:colOff>
      <xdr:row>5</xdr:row>
      <xdr:rowOff>28575</xdr:rowOff>
    </xdr:to>
    <xdr:pic>
      <xdr:nvPicPr>
        <xdr:cNvPr id="11" name="Picture 8" descr="http://tbn0.google.com/images?q=tbn:ayjX6Bm_mXM9DM:http://www.seescyt.gov.do/Galera%20de%20imgenes%20del%20sitio%20principal/escudo%20nacional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172200" y="152400"/>
          <a:ext cx="8953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723900</xdr:colOff>
      <xdr:row>196</xdr:row>
      <xdr:rowOff>85725</xdr:rowOff>
    </xdr:from>
    <xdr:to>
      <xdr:col>0</xdr:col>
      <xdr:colOff>723900</xdr:colOff>
      <xdr:row>199</xdr:row>
      <xdr:rowOff>114300</xdr:rowOff>
    </xdr:to>
    <xdr:pic>
      <xdr:nvPicPr>
        <xdr:cNvPr id="12" name="Picture 8" descr="http://tbn0.google.com/images?q=tbn:ayjX6Bm_mXM9DM:http://www.seescyt.gov.do/Galera%20de%20imgenes%20del%20sitio%20principal/escudo%20nacional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3900" y="39414450"/>
          <a:ext cx="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1314450</xdr:colOff>
      <xdr:row>195</xdr:row>
      <xdr:rowOff>9525</xdr:rowOff>
    </xdr:from>
    <xdr:to>
      <xdr:col>5</xdr:col>
      <xdr:colOff>314325</xdr:colOff>
      <xdr:row>198</xdr:row>
      <xdr:rowOff>133350</xdr:rowOff>
    </xdr:to>
    <xdr:pic>
      <xdr:nvPicPr>
        <xdr:cNvPr id="13" name="Picture 8" descr="http://tbn0.google.com/images?q=tbn:ayjX6Bm_mXM9DM:http://www.seescyt.gov.do/Galera%20de%20imgenes%20del%20sitio%20principal/escudo%20nacional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143625" y="39176325"/>
          <a:ext cx="695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942975</xdr:colOff>
      <xdr:row>0</xdr:row>
      <xdr:rowOff>0</xdr:rowOff>
    </xdr:from>
    <xdr:to>
      <xdr:col>4</xdr:col>
      <xdr:colOff>85725</xdr:colOff>
      <xdr:row>7</xdr:row>
      <xdr:rowOff>38100</xdr:rowOff>
    </xdr:to>
    <xdr:pic>
      <xdr:nvPicPr>
        <xdr:cNvPr id="1" name="Imagen 1" descr="Logotipo, nombre de la empresa&#10;&#10;Descripción generada automá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17811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1704975</xdr:colOff>
      <xdr:row>1</xdr:row>
      <xdr:rowOff>85725</xdr:rowOff>
    </xdr:from>
    <xdr:to>
      <xdr:col>1</xdr:col>
      <xdr:colOff>1704975</xdr:colOff>
      <xdr:row>7</xdr:row>
      <xdr:rowOff>114300</xdr:rowOff>
    </xdr:to>
    <xdr:pic>
      <xdr:nvPicPr>
        <xdr:cNvPr id="1" name="Picture 8" descr="http://tbn0.google.com/images?q=tbn:ayjX6Bm_mXM9DM:http://www.seescyt.gov.do/Galera%20de%20imgenes%20del%20sitio%20principal/escudo%20nacional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495800" y="247650"/>
          <a:ext cx="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1447800</xdr:colOff>
      <xdr:row>0</xdr:row>
      <xdr:rowOff>0</xdr:rowOff>
    </xdr:from>
    <xdr:to>
      <xdr:col>3</xdr:col>
      <xdr:colOff>219075</xdr:colOff>
      <xdr:row>8</xdr:row>
      <xdr:rowOff>19050</xdr:rowOff>
    </xdr:to>
    <xdr:pic>
      <xdr:nvPicPr>
        <xdr:cNvPr id="2" name="Imagen 3" descr="Logotipo, nombre de la empresa&#10;&#10;Descripción generada automáticam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0"/>
          <a:ext cx="20002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95250</xdr:rowOff>
    </xdr:from>
    <xdr:to>
      <xdr:col>0</xdr:col>
      <xdr:colOff>0</xdr:colOff>
      <xdr:row>4</xdr:row>
      <xdr:rowOff>123825</xdr:rowOff>
    </xdr:to>
    <xdr:pic>
      <xdr:nvPicPr>
        <xdr:cNvPr id="1" name="Picture 1" descr="http://tbn0.google.com/images?q=tbn:ayjX6Bm_mXM9DM:http://www.seescyt.gov.do/Galera%20de%20imgenes%20del%20sitio%20principal/escudo%20nacional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3812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95250</xdr:rowOff>
    </xdr:from>
    <xdr:to>
      <xdr:col>0</xdr:col>
      <xdr:colOff>0</xdr:colOff>
      <xdr:row>4</xdr:row>
      <xdr:rowOff>123825</xdr:rowOff>
    </xdr:to>
    <xdr:pic>
      <xdr:nvPicPr>
        <xdr:cNvPr id="2" name="Picture 2" descr="http://tbn0.google.com/images?q=tbn:ayjX6Bm_mXM9DM:http://www.seescyt.gov.do/Galera%20de%20imgenes%20del%20sitio%20principal/escudo%20nacional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3812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857250</xdr:colOff>
      <xdr:row>14</xdr:row>
      <xdr:rowOff>123825</xdr:rowOff>
    </xdr:from>
    <xdr:to>
      <xdr:col>6</xdr:col>
      <xdr:colOff>85725</xdr:colOff>
      <xdr:row>18</xdr:row>
      <xdr:rowOff>76200</xdr:rowOff>
    </xdr:to>
    <xdr:pic>
      <xdr:nvPicPr>
        <xdr:cNvPr id="3" name="Picture 3" descr="http://tbn0.google.com/images?q=tbn:ayjX6Bm_mXM9DM:http://www.seescyt.gov.do/Galera%20de%20imgenes%20del%20sitio%20principal/escudo%20nacional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886700" y="2181225"/>
          <a:ext cx="1095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2428875</xdr:colOff>
      <xdr:row>61</xdr:row>
      <xdr:rowOff>85725</xdr:rowOff>
    </xdr:from>
    <xdr:to>
      <xdr:col>1</xdr:col>
      <xdr:colOff>3200400</xdr:colOff>
      <xdr:row>65</xdr:row>
      <xdr:rowOff>95250</xdr:rowOff>
    </xdr:to>
    <xdr:pic>
      <xdr:nvPicPr>
        <xdr:cNvPr id="4" name="Picture 2" descr="iconoSE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9191625"/>
          <a:ext cx="771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2143125</xdr:colOff>
      <xdr:row>0</xdr:row>
      <xdr:rowOff>19050</xdr:rowOff>
    </xdr:from>
    <xdr:to>
      <xdr:col>2</xdr:col>
      <xdr:colOff>57150</xdr:colOff>
      <xdr:row>6</xdr:row>
      <xdr:rowOff>133350</xdr:rowOff>
    </xdr:to>
    <xdr:pic>
      <xdr:nvPicPr>
        <xdr:cNvPr id="5" name="Imagen 6" descr="Logotipo, nombre de la empresa&#10;&#10;Descripción generada automáticament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43125" y="19050"/>
          <a:ext cx="1476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1133475</xdr:colOff>
      <xdr:row>0</xdr:row>
      <xdr:rowOff>0</xdr:rowOff>
    </xdr:from>
    <xdr:to>
      <xdr:col>1</xdr:col>
      <xdr:colOff>2828925</xdr:colOff>
      <xdr:row>7</xdr:row>
      <xdr:rowOff>142875</xdr:rowOff>
    </xdr:to>
    <xdr:pic>
      <xdr:nvPicPr>
        <xdr:cNvPr id="1" name="Imagen 2" descr="Logotipo, nombre de la empresa&#10;&#10;Descripción generada automá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0"/>
          <a:ext cx="16954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2</xdr:row>
      <xdr:rowOff>85725</xdr:rowOff>
    </xdr:from>
    <xdr:to>
      <xdr:col>0</xdr:col>
      <xdr:colOff>1038225</xdr:colOff>
      <xdr:row>5</xdr:row>
      <xdr:rowOff>114300</xdr:rowOff>
    </xdr:to>
    <xdr:pic>
      <xdr:nvPicPr>
        <xdr:cNvPr id="1" name="Picture 8" descr="http://tbn0.google.com/images?q=tbn:ayjX6Bm_mXM9DM:http://www.seescyt.gov.do/Galera%20de%20imgenes%20del%20sitio%20principal/escudo%20nacional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38225" y="409575"/>
          <a:ext cx="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19</xdr:row>
      <xdr:rowOff>104775</xdr:rowOff>
    </xdr:from>
    <xdr:to>
      <xdr:col>8</xdr:col>
      <xdr:colOff>333375</xdr:colOff>
      <xdr:row>24</xdr:row>
      <xdr:rowOff>76200</xdr:rowOff>
    </xdr:to>
    <xdr:pic>
      <xdr:nvPicPr>
        <xdr:cNvPr id="2" name="Imagen 5" descr="Logotipo, nombre de la empresa&#10;&#10;Descripción generada automáticam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3362325"/>
          <a:ext cx="1190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1323975</xdr:colOff>
      <xdr:row>0</xdr:row>
      <xdr:rowOff>0</xdr:rowOff>
    </xdr:from>
    <xdr:to>
      <xdr:col>8</xdr:col>
      <xdr:colOff>438150</xdr:colOff>
      <xdr:row>7</xdr:row>
      <xdr:rowOff>133350</xdr:rowOff>
    </xdr:to>
    <xdr:pic>
      <xdr:nvPicPr>
        <xdr:cNvPr id="3" name="Imagen 6" descr="Logotipo, nombre de la empresa&#10;&#10;Descripción generada automáticam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0"/>
          <a:ext cx="19907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1047750</xdr:colOff>
      <xdr:row>0</xdr:row>
      <xdr:rowOff>0</xdr:rowOff>
    </xdr:from>
    <xdr:to>
      <xdr:col>1</xdr:col>
      <xdr:colOff>2581275</xdr:colOff>
      <xdr:row>6</xdr:row>
      <xdr:rowOff>38100</xdr:rowOff>
    </xdr:to>
    <xdr:pic>
      <xdr:nvPicPr>
        <xdr:cNvPr id="4" name="Imagen 7" descr="Logotipo, nombre de la empresa&#10;&#10;Descripción generada automáticam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0"/>
          <a:ext cx="1533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1</xdr:row>
      <xdr:rowOff>85725</xdr:rowOff>
    </xdr:from>
    <xdr:to>
      <xdr:col>0</xdr:col>
      <xdr:colOff>1038225</xdr:colOff>
      <xdr:row>4</xdr:row>
      <xdr:rowOff>114300</xdr:rowOff>
    </xdr:to>
    <xdr:pic>
      <xdr:nvPicPr>
        <xdr:cNvPr id="1" name="Picture 8" descr="http://tbn0.google.com/images?q=tbn:ayjX6Bm_mXM9DM:http://www.seescyt.gov.do/Galera%20de%20imgenes%20del%20sitio%20principal/escudo%20nacional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38225" y="247650"/>
          <a:ext cx="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2514600</xdr:colOff>
      <xdr:row>0</xdr:row>
      <xdr:rowOff>0</xdr:rowOff>
    </xdr:from>
    <xdr:to>
      <xdr:col>2</xdr:col>
      <xdr:colOff>723900</xdr:colOff>
      <xdr:row>6</xdr:row>
      <xdr:rowOff>19050</xdr:rowOff>
    </xdr:to>
    <xdr:pic>
      <xdr:nvPicPr>
        <xdr:cNvPr id="2" name="Imagen 3" descr="Logotipo, nombre de la empresa&#10;&#10;Descripción generada automáticam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2825" y="0"/>
          <a:ext cx="1504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561975</xdr:colOff>
      <xdr:row>0</xdr:row>
      <xdr:rowOff>57150</xdr:rowOff>
    </xdr:from>
    <xdr:to>
      <xdr:col>4</xdr:col>
      <xdr:colOff>390525</xdr:colOff>
      <xdr:row>6</xdr:row>
      <xdr:rowOff>142875</xdr:rowOff>
    </xdr:to>
    <xdr:pic>
      <xdr:nvPicPr>
        <xdr:cNvPr id="1" name="Imagen 2" descr="Logotipo, nombre de la empresa&#10;&#10;Descripción generada automá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57150"/>
          <a:ext cx="16097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2419350</xdr:colOff>
      <xdr:row>0</xdr:row>
      <xdr:rowOff>152400</xdr:rowOff>
    </xdr:from>
    <xdr:to>
      <xdr:col>5</xdr:col>
      <xdr:colOff>114300</xdr:colOff>
      <xdr:row>7</xdr:row>
      <xdr:rowOff>19050</xdr:rowOff>
    </xdr:to>
    <xdr:pic>
      <xdr:nvPicPr>
        <xdr:cNvPr id="1" name="Imagen 1" descr="Logotipo, nombre de la empresa&#10;&#10;Descripción generada automáticame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152400"/>
          <a:ext cx="1524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G29:K35" comment="" totalsRowCount="1">
  <autoFilter ref="G29:K35"/>
  <tableColumns count="5">
    <tableColumn id="1" name="No. Cuenta"/>
    <tableColumn id="2" name="Nombre Cta"/>
    <tableColumn id="3" name="Institucion Bancaria"/>
    <tableColumn id="5" name="Moneda"/>
    <tableColumn id="6" name="Balanc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G12:I15" comment="" totalsRowShown="0">
  <autoFilter ref="G12:I15"/>
  <tableColumns count="3">
    <tableColumn id="1" name="CUSTODIO"/>
    <tableColumn id="2" name="UBICACIÓN"/>
    <tableColumn id="3" name="MONTO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5" name="Tabla5" displayName="Tabla5" ref="B39:B40" comment="" totalsRowShown="0">
  <autoFilter ref="B39:B40"/>
  <tableColumns count="1">
    <tableColumn id="1" name="CUENTAS POR COBRAR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6" name="Tabla6" displayName="Tabla6" ref="B41:C42" comment="" totalsRowShown="0">
  <autoFilter ref="B41:C42"/>
  <tableColumns count="2">
    <tableColumn id="1" name="0"/>
    <tableColumn id="2" name="TOTAL CUENTAS POR COBRAR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drawing" Target="../drawings/drawing6.xml" /><Relationship Id="rId6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J73"/>
  <sheetViews>
    <sheetView zoomScalePageLayoutView="0" workbookViewId="0" topLeftCell="B1">
      <selection activeCell="H5" sqref="H5"/>
    </sheetView>
  </sheetViews>
  <sheetFormatPr defaultColWidth="9.140625" defaultRowHeight="12.75"/>
  <cols>
    <col min="1" max="1" width="9.28125" style="5" customWidth="1"/>
    <col min="2" max="2" width="49.421875" style="5" customWidth="1"/>
    <col min="3" max="3" width="15.421875" style="5" bestFit="1" customWidth="1"/>
    <col min="4" max="4" width="15.140625" style="5" bestFit="1" customWidth="1"/>
    <col min="5" max="6" width="9.140625" style="5" customWidth="1"/>
    <col min="7" max="7" width="47.421875" style="5" customWidth="1"/>
    <col min="8" max="8" width="20.421875" style="5" customWidth="1"/>
    <col min="9" max="9" width="9.140625" style="5" customWidth="1"/>
    <col min="10" max="10" width="9.8515625" style="5" bestFit="1" customWidth="1"/>
    <col min="11" max="16384" width="9.140625" style="5" customWidth="1"/>
  </cols>
  <sheetData>
    <row r="1" ht="11.25"/>
    <row r="2" ht="11.25"/>
    <row r="3" ht="11.25"/>
    <row r="4" ht="11.25"/>
    <row r="5" ht="11.25"/>
    <row r="6" ht="11.25"/>
    <row r="7" ht="11.25"/>
    <row r="8" ht="11.25"/>
    <row r="9" spans="2:7" ht="15.75">
      <c r="B9" s="48" t="s">
        <v>154</v>
      </c>
      <c r="G9" s="48" t="s">
        <v>154</v>
      </c>
    </row>
    <row r="10" spans="2:7" ht="11.25">
      <c r="B10" s="47" t="s">
        <v>110</v>
      </c>
      <c r="G10" s="47" t="s">
        <v>193</v>
      </c>
    </row>
    <row r="11" spans="2:7" ht="11.25">
      <c r="B11" s="47" t="s">
        <v>135</v>
      </c>
      <c r="G11" s="47" t="s">
        <v>135</v>
      </c>
    </row>
    <row r="12" spans="2:7" ht="11.25">
      <c r="B12" s="47" t="s">
        <v>2</v>
      </c>
      <c r="G12" s="47" t="s">
        <v>2</v>
      </c>
    </row>
    <row r="13" spans="2:7" ht="11.25">
      <c r="B13" s="4"/>
      <c r="G13" s="4"/>
    </row>
    <row r="14" spans="1:8" ht="11.25">
      <c r="A14" s="49" t="s">
        <v>112</v>
      </c>
      <c r="B14" s="49" t="s">
        <v>111</v>
      </c>
      <c r="C14" s="49" t="s">
        <v>113</v>
      </c>
      <c r="D14" s="4"/>
      <c r="F14" s="49" t="s">
        <v>112</v>
      </c>
      <c r="G14" s="49" t="s">
        <v>111</v>
      </c>
      <c r="H14" s="49" t="s">
        <v>113</v>
      </c>
    </row>
    <row r="15" spans="1:8" ht="11.25">
      <c r="A15" s="97">
        <v>42198</v>
      </c>
      <c r="B15" s="49" t="s">
        <v>148</v>
      </c>
      <c r="C15" s="96">
        <v>2000000</v>
      </c>
      <c r="D15" s="4"/>
      <c r="F15" s="65">
        <v>42020</v>
      </c>
      <c r="G15" s="51" t="s">
        <v>176</v>
      </c>
      <c r="H15" s="64">
        <v>19345.92</v>
      </c>
    </row>
    <row r="16" spans="1:8" ht="11.25">
      <c r="A16" s="65">
        <v>42144</v>
      </c>
      <c r="B16" s="98" t="s">
        <v>149</v>
      </c>
      <c r="C16" s="64">
        <v>531444</v>
      </c>
      <c r="D16" s="4"/>
      <c r="F16" s="65">
        <v>42059</v>
      </c>
      <c r="G16" s="98" t="s">
        <v>175</v>
      </c>
      <c r="H16" s="64">
        <v>30</v>
      </c>
    </row>
    <row r="17" spans="1:8" ht="11.25">
      <c r="A17" s="65">
        <v>42212</v>
      </c>
      <c r="B17" s="98" t="s">
        <v>149</v>
      </c>
      <c r="C17" s="64">
        <v>353220</v>
      </c>
      <c r="D17" s="67"/>
      <c r="F17" s="65">
        <v>42073</v>
      </c>
      <c r="G17" s="98" t="s">
        <v>174</v>
      </c>
      <c r="H17" s="64">
        <v>800</v>
      </c>
    </row>
    <row r="18" spans="1:8" ht="11.25">
      <c r="A18" s="65">
        <v>42307</v>
      </c>
      <c r="B18" s="98" t="s">
        <v>149</v>
      </c>
      <c r="C18" s="64">
        <v>171989.58</v>
      </c>
      <c r="F18" s="65">
        <v>42307</v>
      </c>
      <c r="G18" s="98" t="s">
        <v>173</v>
      </c>
      <c r="H18" s="64">
        <v>30</v>
      </c>
    </row>
    <row r="19" spans="1:8" ht="11.25">
      <c r="A19" s="66"/>
      <c r="B19" s="98" t="s">
        <v>125</v>
      </c>
      <c r="C19" s="64">
        <v>117160.45</v>
      </c>
      <c r="D19" s="78"/>
      <c r="F19" s="56">
        <v>42181</v>
      </c>
      <c r="G19" s="98" t="s">
        <v>177</v>
      </c>
      <c r="H19" s="52">
        <v>119933.44</v>
      </c>
    </row>
    <row r="20" spans="1:8" ht="11.25">
      <c r="A20" s="56">
        <v>42115</v>
      </c>
      <c r="B20" s="98" t="s">
        <v>150</v>
      </c>
      <c r="C20" s="52">
        <v>514165.45</v>
      </c>
      <c r="F20" s="56">
        <v>42160</v>
      </c>
      <c r="G20" s="98" t="s">
        <v>178</v>
      </c>
      <c r="H20" s="52">
        <v>3000</v>
      </c>
    </row>
    <row r="21" spans="1:8" ht="11.25">
      <c r="A21" s="57"/>
      <c r="B21" s="50"/>
      <c r="C21" s="52"/>
      <c r="D21" s="40"/>
      <c r="F21" s="66"/>
      <c r="H21" s="160"/>
    </row>
    <row r="22" spans="1:8" ht="11.25">
      <c r="A22" s="56"/>
      <c r="B22" s="50"/>
      <c r="C22" s="52"/>
      <c r="D22" s="67"/>
      <c r="F22" s="50"/>
      <c r="G22" s="50"/>
      <c r="H22" s="50"/>
    </row>
    <row r="23" spans="1:8" ht="11.25">
      <c r="A23" s="56"/>
      <c r="B23" s="50"/>
      <c r="C23" s="52"/>
      <c r="D23" s="78"/>
      <c r="F23" s="50"/>
      <c r="G23" s="50"/>
      <c r="H23" s="50"/>
    </row>
    <row r="24" spans="1:8" ht="11.25">
      <c r="A24" s="57"/>
      <c r="B24" s="50"/>
      <c r="C24" s="52"/>
      <c r="D24" s="40"/>
      <c r="F24" s="57"/>
      <c r="G24" s="50"/>
      <c r="H24" s="52"/>
    </row>
    <row r="25" spans="1:8" ht="11.25">
      <c r="A25" s="57"/>
      <c r="B25" s="50"/>
      <c r="C25" s="52"/>
      <c r="F25" s="57"/>
      <c r="G25" s="50"/>
      <c r="H25" s="52"/>
    </row>
    <row r="26" spans="1:8" ht="11.25">
      <c r="A26" s="57"/>
      <c r="B26" s="50"/>
      <c r="C26" s="52"/>
      <c r="F26" s="57"/>
      <c r="G26" s="50"/>
      <c r="H26" s="52"/>
    </row>
    <row r="27" spans="1:8" ht="11.25">
      <c r="A27" s="50"/>
      <c r="B27" s="50"/>
      <c r="C27" s="52"/>
      <c r="F27" s="50"/>
      <c r="G27" s="50"/>
      <c r="H27" s="52"/>
    </row>
    <row r="28" spans="1:10" ht="11.25">
      <c r="A28" s="50"/>
      <c r="B28" s="50"/>
      <c r="C28" s="54">
        <f>SUM(C15:C27)</f>
        <v>3687979.4800000004</v>
      </c>
      <c r="F28" s="50"/>
      <c r="G28" s="50"/>
      <c r="H28" s="54">
        <v>0</v>
      </c>
      <c r="J28" s="40"/>
    </row>
    <row r="29" spans="1:8" ht="11.25">
      <c r="A29" s="50"/>
      <c r="B29" s="50"/>
      <c r="C29" s="50"/>
      <c r="F29" s="50"/>
      <c r="G29" s="50"/>
      <c r="H29" s="50"/>
    </row>
    <row r="30" spans="1:8" ht="11.25">
      <c r="A30" s="50"/>
      <c r="B30" s="57" t="s">
        <v>46</v>
      </c>
      <c r="C30" s="58">
        <f>'EJECUCION CONSOLIDADA'!B71</f>
        <v>419808553.32</v>
      </c>
      <c r="F30" s="50"/>
      <c r="G30" s="57"/>
      <c r="H30" s="58">
        <v>0</v>
      </c>
    </row>
    <row r="31" spans="1:8" ht="12" thickBot="1">
      <c r="A31" s="50"/>
      <c r="B31" s="57"/>
      <c r="C31" s="50"/>
      <c r="F31" s="130"/>
      <c r="G31" s="184"/>
      <c r="H31" s="130"/>
    </row>
    <row r="32" spans="1:8" ht="12" thickBot="1">
      <c r="A32" s="50"/>
      <c r="B32" s="57" t="s">
        <v>122</v>
      </c>
      <c r="C32" s="59">
        <f>SUM(C28:C31)</f>
        <v>423496532.8</v>
      </c>
      <c r="F32" s="185"/>
      <c r="G32" s="186" t="s">
        <v>196</v>
      </c>
      <c r="H32" s="177">
        <f>SUM(H15:H30)</f>
        <v>143139.36</v>
      </c>
    </row>
    <row r="33" ht="12" thickTop="1"/>
    <row r="36" ht="11.25">
      <c r="B36" s="239" t="s">
        <v>217</v>
      </c>
    </row>
    <row r="37" ht="11.25">
      <c r="B37" s="239" t="s">
        <v>218</v>
      </c>
    </row>
    <row r="41" ht="15.75">
      <c r="B41" s="48" t="s">
        <v>154</v>
      </c>
    </row>
    <row r="42" ht="11.25">
      <c r="B42" s="47" t="s">
        <v>194</v>
      </c>
    </row>
    <row r="43" ht="11.25">
      <c r="B43" s="47" t="s">
        <v>135</v>
      </c>
    </row>
    <row r="44" ht="11.25">
      <c r="B44" s="47" t="s">
        <v>2</v>
      </c>
    </row>
    <row r="45" ht="11.25">
      <c r="B45" s="4"/>
    </row>
    <row r="46" spans="1:3" ht="11.25">
      <c r="A46" s="49" t="s">
        <v>112</v>
      </c>
      <c r="B46" s="49" t="s">
        <v>111</v>
      </c>
      <c r="C46" s="49" t="s">
        <v>113</v>
      </c>
    </row>
    <row r="47" spans="1:3" ht="12.75">
      <c r="A47" s="154">
        <v>42144</v>
      </c>
      <c r="B47" s="150" t="s">
        <v>163</v>
      </c>
      <c r="C47" s="145">
        <v>1500</v>
      </c>
    </row>
    <row r="48" spans="1:4" ht="12.75">
      <c r="A48" s="155">
        <v>42149</v>
      </c>
      <c r="B48" s="144" t="s">
        <v>164</v>
      </c>
      <c r="C48" s="147">
        <v>8033.91</v>
      </c>
      <c r="D48" s="149"/>
    </row>
    <row r="49" spans="1:4" ht="12.75">
      <c r="A49" s="150" t="s">
        <v>165</v>
      </c>
      <c r="B49" s="144" t="s">
        <v>167</v>
      </c>
      <c r="C49" s="147">
        <v>1300</v>
      </c>
      <c r="D49" s="151"/>
    </row>
    <row r="50" spans="1:4" ht="12.75">
      <c r="A50" s="150" t="s">
        <v>165</v>
      </c>
      <c r="B50" s="144" t="s">
        <v>168</v>
      </c>
      <c r="C50" s="147">
        <v>1300</v>
      </c>
      <c r="D50" s="152"/>
    </row>
    <row r="51" spans="1:4" ht="12.75">
      <c r="A51" s="150" t="s">
        <v>166</v>
      </c>
      <c r="B51" s="144" t="s">
        <v>169</v>
      </c>
      <c r="C51" s="147">
        <v>1300</v>
      </c>
      <c r="D51" s="152"/>
    </row>
    <row r="52" spans="1:4" ht="12.75">
      <c r="A52" s="146">
        <v>42227</v>
      </c>
      <c r="B52" s="150" t="s">
        <v>170</v>
      </c>
      <c r="C52" s="156">
        <v>1300</v>
      </c>
      <c r="D52" s="153"/>
    </row>
    <row r="53" spans="1:4" ht="12.75">
      <c r="A53" s="154">
        <v>42014</v>
      </c>
      <c r="B53" s="144" t="s">
        <v>171</v>
      </c>
      <c r="C53" s="148">
        <v>306</v>
      </c>
      <c r="D53" s="149"/>
    </row>
    <row r="54" spans="1:3" ht="11.25">
      <c r="A54" s="56"/>
      <c r="B54" s="98" t="s">
        <v>172</v>
      </c>
      <c r="C54" s="52">
        <v>5400</v>
      </c>
    </row>
    <row r="55" spans="1:3" ht="11.25">
      <c r="A55" s="56"/>
      <c r="B55" s="50"/>
      <c r="C55" s="52"/>
    </row>
    <row r="56" spans="1:3" ht="11.25">
      <c r="A56" s="56"/>
      <c r="B56" s="50"/>
      <c r="C56" s="52"/>
    </row>
    <row r="57" spans="1:3" ht="11.25">
      <c r="A57" s="56"/>
      <c r="B57" s="50"/>
      <c r="C57" s="52"/>
    </row>
    <row r="58" spans="1:3" ht="11.25">
      <c r="A58" s="56"/>
      <c r="B58" s="50"/>
      <c r="C58" s="52"/>
    </row>
    <row r="59" spans="1:3" ht="11.25">
      <c r="A59" s="56"/>
      <c r="B59" s="50"/>
      <c r="C59" s="52"/>
    </row>
    <row r="60" spans="1:3" ht="11.25">
      <c r="A60" s="56"/>
      <c r="B60" s="50"/>
      <c r="C60" s="52"/>
    </row>
    <row r="61" spans="1:3" ht="11.25">
      <c r="A61" s="57"/>
      <c r="B61" s="50"/>
      <c r="C61" s="52"/>
    </row>
    <row r="62" spans="1:3" ht="11.25">
      <c r="A62" s="56"/>
      <c r="B62" s="50"/>
      <c r="C62" s="52"/>
    </row>
    <row r="63" spans="1:3" ht="11.25">
      <c r="A63" s="56"/>
      <c r="B63" s="50"/>
      <c r="C63" s="52"/>
    </row>
    <row r="64" spans="1:3" ht="11.25">
      <c r="A64" s="57"/>
      <c r="B64" s="50"/>
      <c r="C64" s="52"/>
    </row>
    <row r="65" spans="1:3" ht="11.25">
      <c r="A65" s="57"/>
      <c r="B65" s="50"/>
      <c r="C65" s="52"/>
    </row>
    <row r="66" spans="1:3" ht="11.25">
      <c r="A66" s="57"/>
      <c r="B66" s="50"/>
      <c r="C66" s="52"/>
    </row>
    <row r="67" spans="1:3" ht="11.25">
      <c r="A67" s="57"/>
      <c r="B67" s="50"/>
      <c r="C67" s="52"/>
    </row>
    <row r="68" spans="1:3" ht="12" thickBot="1">
      <c r="A68" s="50"/>
      <c r="B68" s="130"/>
      <c r="C68" s="131"/>
    </row>
    <row r="69" spans="1:3" ht="11.25">
      <c r="A69" s="176"/>
      <c r="B69" s="183" t="s">
        <v>195</v>
      </c>
      <c r="C69" s="178">
        <f>SUM(C47:C68)</f>
        <v>20439.91</v>
      </c>
    </row>
    <row r="70" spans="1:3" ht="12" thickBot="1">
      <c r="A70" s="176"/>
      <c r="B70" s="153"/>
      <c r="C70" s="179"/>
    </row>
    <row r="71" spans="1:3" ht="11.25">
      <c r="A71" s="176"/>
      <c r="B71" s="180"/>
      <c r="C71" s="181"/>
    </row>
    <row r="72" spans="1:3" ht="11.25">
      <c r="A72" s="176"/>
      <c r="B72" s="180"/>
      <c r="C72" s="153"/>
    </row>
    <row r="73" spans="1:3" ht="11.25">
      <c r="A73" s="176"/>
      <c r="B73" s="180"/>
      <c r="C73" s="182"/>
    </row>
  </sheetData>
  <sheetProtection/>
  <printOptions horizontalCentered="1"/>
  <pageMargins left="0" right="0" top="0.44" bottom="0" header="0.2" footer="0.5118110236220472"/>
  <pageSetup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7:L30"/>
  <sheetViews>
    <sheetView zoomScalePageLayoutView="0" workbookViewId="0" topLeftCell="B1">
      <selection activeCell="H7" sqref="H7"/>
    </sheetView>
  </sheetViews>
  <sheetFormatPr defaultColWidth="11.421875" defaultRowHeight="12.75"/>
  <cols>
    <col min="1" max="1" width="12.28125" style="0" customWidth="1"/>
    <col min="2" max="2" width="14.00390625" style="0" customWidth="1"/>
    <col min="3" max="4" width="43.421875" style="0" customWidth="1"/>
    <col min="5" max="5" width="14.00390625" style="0" customWidth="1"/>
    <col min="6" max="6" width="15.28125" style="0" customWidth="1"/>
    <col min="7" max="7" width="16.421875" style="0" customWidth="1"/>
    <col min="8" max="9" width="17.140625" style="0" customWidth="1"/>
    <col min="10" max="10" width="13.421875" style="0" bestFit="1" customWidth="1"/>
    <col min="11" max="11" width="14.421875" style="0" customWidth="1"/>
    <col min="12" max="12" width="15.421875" style="0" customWidth="1"/>
  </cols>
  <sheetData>
    <row r="7" spans="1:10" ht="12.75">
      <c r="A7" s="241"/>
      <c r="B7" s="241"/>
      <c r="C7" s="166"/>
      <c r="D7" s="166"/>
      <c r="E7" s="166"/>
      <c r="F7" s="166"/>
      <c r="G7" s="166"/>
      <c r="H7" s="166"/>
      <c r="I7" s="166"/>
      <c r="J7" s="106"/>
    </row>
    <row r="8" spans="1:12" ht="15.75">
      <c r="A8" s="714" t="s">
        <v>115</v>
      </c>
      <c r="B8" s="714"/>
      <c r="C8" s="714"/>
      <c r="D8" s="714"/>
      <c r="E8" s="714"/>
      <c r="F8" s="714"/>
      <c r="G8" s="714"/>
      <c r="H8" s="714"/>
      <c r="I8" s="714"/>
      <c r="J8" s="714"/>
      <c r="K8" s="714"/>
      <c r="L8" s="714"/>
    </row>
    <row r="9" spans="1:12" ht="12.75">
      <c r="A9" s="717" t="s">
        <v>188</v>
      </c>
      <c r="B9" s="717"/>
      <c r="C9" s="717"/>
      <c r="D9" s="717"/>
      <c r="E9" s="717"/>
      <c r="F9" s="717"/>
      <c r="G9" s="717"/>
      <c r="H9" s="717"/>
      <c r="I9" s="717"/>
      <c r="J9" s="717"/>
      <c r="K9" s="717"/>
      <c r="L9" s="717"/>
    </row>
    <row r="10" spans="1:12" ht="12.75">
      <c r="A10" s="715" t="s">
        <v>64</v>
      </c>
      <c r="B10" s="715"/>
      <c r="C10" s="715"/>
      <c r="D10" s="715"/>
      <c r="E10" s="715"/>
      <c r="F10" s="715"/>
      <c r="G10" s="715"/>
      <c r="H10" s="715"/>
      <c r="I10" s="715"/>
      <c r="J10" s="715"/>
      <c r="K10" s="715"/>
      <c r="L10" s="715"/>
    </row>
    <row r="11" spans="1:12" ht="12.75">
      <c r="A11" s="722" t="s">
        <v>1</v>
      </c>
      <c r="B11" s="722"/>
      <c r="C11" s="722"/>
      <c r="D11" s="722"/>
      <c r="E11" s="722"/>
      <c r="F11" s="722"/>
      <c r="G11" s="722"/>
      <c r="H11" s="722"/>
      <c r="I11" s="722"/>
      <c r="J11" s="722"/>
      <c r="K11" s="722"/>
      <c r="L11" s="722"/>
    </row>
    <row r="12" spans="1:12" ht="12.75">
      <c r="A12" s="715" t="s">
        <v>952</v>
      </c>
      <c r="B12" s="715"/>
      <c r="C12" s="715"/>
      <c r="D12" s="715"/>
      <c r="E12" s="715"/>
      <c r="F12" s="715"/>
      <c r="G12" s="715"/>
      <c r="H12" s="715"/>
      <c r="I12" s="715"/>
      <c r="J12" s="715"/>
      <c r="K12" s="715"/>
      <c r="L12" s="715"/>
    </row>
    <row r="13" spans="1:12" ht="12.75">
      <c r="A13" s="715" t="s">
        <v>2</v>
      </c>
      <c r="B13" s="715"/>
      <c r="C13" s="715"/>
      <c r="D13" s="715"/>
      <c r="E13" s="715"/>
      <c r="F13" s="715"/>
      <c r="G13" s="715"/>
      <c r="H13" s="715"/>
      <c r="I13" s="715"/>
      <c r="J13" s="715"/>
      <c r="K13" s="715"/>
      <c r="L13" s="715"/>
    </row>
    <row r="14" spans="1:12" ht="51">
      <c r="A14" s="540" t="s">
        <v>966</v>
      </c>
      <c r="B14" s="540" t="s">
        <v>703</v>
      </c>
      <c r="C14" s="541" t="s">
        <v>41</v>
      </c>
      <c r="D14" s="541" t="s">
        <v>970</v>
      </c>
      <c r="E14" s="543" t="s">
        <v>978</v>
      </c>
      <c r="F14" s="736" t="s">
        <v>964</v>
      </c>
      <c r="G14" s="737"/>
      <c r="H14" s="737"/>
      <c r="I14" s="738"/>
      <c r="J14" s="542" t="s">
        <v>976</v>
      </c>
      <c r="K14" s="542" t="s">
        <v>977</v>
      </c>
      <c r="L14" s="171" t="s">
        <v>144</v>
      </c>
    </row>
    <row r="15" spans="1:10" ht="12.75">
      <c r="A15" s="532"/>
      <c r="B15" s="532"/>
      <c r="C15" s="532"/>
      <c r="D15" s="532"/>
      <c r="E15" s="535"/>
      <c r="F15" s="733" t="s">
        <v>112</v>
      </c>
      <c r="G15" s="734"/>
      <c r="H15" s="734"/>
      <c r="I15" s="735"/>
      <c r="J15" s="533"/>
    </row>
    <row r="16" spans="1:12" ht="13.5" thickBot="1">
      <c r="A16" s="8"/>
      <c r="B16" s="8"/>
      <c r="C16" s="8"/>
      <c r="D16" s="8"/>
      <c r="E16" s="8"/>
      <c r="F16" s="531" t="s">
        <v>974</v>
      </c>
      <c r="G16" s="531" t="s">
        <v>972</v>
      </c>
      <c r="H16" s="531" t="s">
        <v>975</v>
      </c>
      <c r="I16" s="531" t="s">
        <v>982</v>
      </c>
      <c r="J16" s="242"/>
      <c r="K16" s="55"/>
      <c r="L16" s="55"/>
    </row>
    <row r="17" spans="1:12" ht="76.5">
      <c r="A17" s="8" t="s">
        <v>967</v>
      </c>
      <c r="B17" s="545" t="s">
        <v>980</v>
      </c>
      <c r="C17" s="203" t="s">
        <v>965</v>
      </c>
      <c r="D17" s="536" t="s">
        <v>973</v>
      </c>
      <c r="E17" s="544">
        <v>100000</v>
      </c>
      <c r="F17" s="537">
        <v>5620000</v>
      </c>
      <c r="G17" s="531"/>
      <c r="H17" s="531"/>
      <c r="I17" s="531"/>
      <c r="J17" s="539">
        <f>F17</f>
        <v>5620000</v>
      </c>
      <c r="K17" s="19">
        <v>2012009.07</v>
      </c>
      <c r="L17" s="344">
        <f>K17</f>
        <v>2012009.07</v>
      </c>
    </row>
    <row r="18" spans="1:12" ht="12.75">
      <c r="A18" s="8"/>
      <c r="B18" s="8"/>
      <c r="C18" s="8"/>
      <c r="D18" s="8"/>
      <c r="E18" s="8"/>
      <c r="F18" s="8"/>
      <c r="G18" s="531"/>
      <c r="H18" s="531"/>
      <c r="I18" s="531"/>
      <c r="J18" s="242"/>
      <c r="K18" s="55"/>
      <c r="L18" s="55"/>
    </row>
    <row r="19" spans="1:12" ht="45">
      <c r="A19" s="8" t="s">
        <v>968</v>
      </c>
      <c r="B19" s="545" t="s">
        <v>979</v>
      </c>
      <c r="C19" s="203" t="s">
        <v>969</v>
      </c>
      <c r="D19" s="546" t="s">
        <v>971</v>
      </c>
      <c r="E19" s="534"/>
      <c r="F19" s="534"/>
      <c r="G19" s="87">
        <v>147000</v>
      </c>
      <c r="H19" s="538">
        <v>307063</v>
      </c>
      <c r="I19" s="538"/>
      <c r="J19" s="245">
        <f>G19+H19</f>
        <v>454063</v>
      </c>
      <c r="K19" s="19">
        <v>314648.17</v>
      </c>
      <c r="L19" s="344">
        <f>K19</f>
        <v>314648.17</v>
      </c>
    </row>
    <row r="20" spans="1:12" ht="48.75">
      <c r="A20" s="8" t="s">
        <v>967</v>
      </c>
      <c r="B20" s="545" t="s">
        <v>980</v>
      </c>
      <c r="C20" s="203" t="s">
        <v>981</v>
      </c>
      <c r="D20" s="546"/>
      <c r="E20" s="550">
        <v>237100</v>
      </c>
      <c r="F20" s="549">
        <v>0</v>
      </c>
      <c r="G20" s="87"/>
      <c r="H20" s="548"/>
      <c r="I20" s="548">
        <v>15447065</v>
      </c>
      <c r="J20" s="245">
        <f>I20</f>
        <v>15447065</v>
      </c>
      <c r="K20" s="19">
        <f>J20</f>
        <v>15447065</v>
      </c>
      <c r="L20" s="19">
        <f>K20</f>
        <v>15447065</v>
      </c>
    </row>
    <row r="21" spans="1:12" ht="15">
      <c r="A21" s="8"/>
      <c r="B21" s="545"/>
      <c r="C21" s="203"/>
      <c r="D21" s="546"/>
      <c r="E21" s="534"/>
      <c r="F21" s="534"/>
      <c r="G21" s="87"/>
      <c r="H21" s="548"/>
      <c r="I21" s="548"/>
      <c r="J21" s="245"/>
      <c r="K21" s="19"/>
      <c r="L21" s="344"/>
    </row>
    <row r="22" spans="1:12" ht="15">
      <c r="A22" s="8"/>
      <c r="B22" s="545"/>
      <c r="C22" s="203"/>
      <c r="D22" s="546"/>
      <c r="E22" s="534"/>
      <c r="F22" s="534"/>
      <c r="G22" s="87"/>
      <c r="H22" s="548"/>
      <c r="I22" s="548"/>
      <c r="J22" s="245"/>
      <c r="K22" s="19"/>
      <c r="L22" s="344"/>
    </row>
    <row r="23" spans="1:12" ht="12.75">
      <c r="A23" s="14"/>
      <c r="B23" s="14"/>
      <c r="C23" s="8"/>
      <c r="D23" s="8"/>
      <c r="E23" s="8"/>
      <c r="F23" s="8"/>
      <c r="G23" s="87"/>
      <c r="H23" s="247"/>
      <c r="I23" s="247"/>
      <c r="J23" s="245"/>
      <c r="K23" s="55"/>
      <c r="L23" s="55"/>
    </row>
    <row r="24" spans="1:12" ht="13.5" thickBot="1">
      <c r="A24" s="723" t="s">
        <v>0</v>
      </c>
      <c r="B24" s="739"/>
      <c r="C24" s="724"/>
      <c r="D24" s="529"/>
      <c r="E24" s="529"/>
      <c r="F24" s="88">
        <v>5620000</v>
      </c>
      <c r="G24" s="88">
        <f>SUM(G15:G23)</f>
        <v>147000</v>
      </c>
      <c r="H24" s="249">
        <f>SUM(H19:H23)</f>
        <v>307063</v>
      </c>
      <c r="I24" s="249">
        <f>SUM(I20:I23)</f>
        <v>15447065</v>
      </c>
      <c r="J24" s="547">
        <f>SUM(J17:J23)</f>
        <v>21521128</v>
      </c>
      <c r="K24" s="552"/>
      <c r="L24" s="553">
        <f>SUM(L17:L23)</f>
        <v>17773722.240000002</v>
      </c>
    </row>
    <row r="27" ht="12.75">
      <c r="F27" s="551"/>
    </row>
    <row r="28" spans="1:4" ht="12.75">
      <c r="A28" s="349" t="s">
        <v>217</v>
      </c>
      <c r="D28" s="349" t="s">
        <v>983</v>
      </c>
    </row>
    <row r="29" spans="1:4" ht="12.75">
      <c r="A29" s="349" t="s">
        <v>517</v>
      </c>
      <c r="D29" s="349" t="s">
        <v>984</v>
      </c>
    </row>
    <row r="30" spans="1:4" ht="12.75">
      <c r="A30" s="349" t="s">
        <v>220</v>
      </c>
      <c r="D30" s="349" t="s">
        <v>958</v>
      </c>
    </row>
  </sheetData>
  <sheetProtection/>
  <mergeCells count="9">
    <mergeCell ref="A8:L8"/>
    <mergeCell ref="F15:I15"/>
    <mergeCell ref="F14:I14"/>
    <mergeCell ref="A24:C24"/>
    <mergeCell ref="A9:L9"/>
    <mergeCell ref="A10:L10"/>
    <mergeCell ref="A11:L11"/>
    <mergeCell ref="A12:L12"/>
    <mergeCell ref="A13:L13"/>
  </mergeCells>
  <printOptions/>
  <pageMargins left="0.1968503937007874" right="0.7086614173228347" top="0.7480314960629921" bottom="0.7480314960629921" header="0.31496062992125984" footer="0.31496062992125984"/>
  <pageSetup horizontalDpi="600" verticalDpi="600" orientation="landscape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40"/>
  <sheetViews>
    <sheetView zoomScalePageLayoutView="0" workbookViewId="0" topLeftCell="A1">
      <selection activeCell="G5" sqref="G5"/>
    </sheetView>
  </sheetViews>
  <sheetFormatPr defaultColWidth="11.421875" defaultRowHeight="12.75"/>
  <cols>
    <col min="1" max="1" width="13.28125" style="0" customWidth="1"/>
    <col min="2" max="2" width="33.7109375" style="0" customWidth="1"/>
    <col min="3" max="3" width="26.28125" style="0" customWidth="1"/>
    <col min="4" max="4" width="14.7109375" style="0" customWidth="1"/>
    <col min="5" max="5" width="13.140625" style="0" customWidth="1"/>
    <col min="6" max="6" width="13.8515625" style="0" bestFit="1" customWidth="1"/>
  </cols>
  <sheetData>
    <row r="2" spans="1:3" s="12" customFormat="1" ht="14.25">
      <c r="A2" s="598"/>
      <c r="B2" s="598"/>
      <c r="C2" s="599"/>
    </row>
    <row r="3" spans="1:3" ht="12.75">
      <c r="A3" s="95"/>
      <c r="B3" s="95"/>
      <c r="C3" s="45"/>
    </row>
    <row r="4" spans="1:4" ht="12.75">
      <c r="A4" s="5"/>
      <c r="B4" s="25"/>
      <c r="C4" s="25"/>
      <c r="D4" s="25"/>
    </row>
    <row r="5" spans="1:4" ht="12.75">
      <c r="A5" s="5"/>
      <c r="B5" s="25"/>
      <c r="C5" s="25"/>
      <c r="D5" s="25"/>
    </row>
    <row r="6" spans="1:4" ht="12.75">
      <c r="A6" s="5"/>
      <c r="B6" s="25"/>
      <c r="C6" s="25"/>
      <c r="D6" s="25"/>
    </row>
    <row r="7" spans="1:4" ht="12.75">
      <c r="A7" s="5"/>
      <c r="B7" s="25"/>
      <c r="C7" s="25"/>
      <c r="D7" s="25"/>
    </row>
    <row r="8" spans="1:4" ht="12.75">
      <c r="A8" s="5"/>
      <c r="B8" s="25"/>
      <c r="C8" s="25"/>
      <c r="D8" s="25"/>
    </row>
    <row r="9" spans="1:5" ht="15.75">
      <c r="A9" s="714" t="s">
        <v>115</v>
      </c>
      <c r="B9" s="714"/>
      <c r="C9" s="714"/>
      <c r="D9" s="714"/>
      <c r="E9" s="714"/>
    </row>
    <row r="10" spans="1:5" ht="12.75">
      <c r="A10" s="715" t="s">
        <v>105</v>
      </c>
      <c r="B10" s="715"/>
      <c r="C10" s="715"/>
      <c r="D10" s="715"/>
      <c r="E10" s="715"/>
    </row>
    <row r="11" spans="1:5" ht="12.75">
      <c r="A11" s="722" t="s">
        <v>1</v>
      </c>
      <c r="B11" s="722"/>
      <c r="C11" s="722"/>
      <c r="D11" s="722"/>
      <c r="E11" s="722"/>
    </row>
    <row r="12" spans="1:5" ht="12.75">
      <c r="A12" s="715" t="s">
        <v>951</v>
      </c>
      <c r="B12" s="715"/>
      <c r="C12" s="715"/>
      <c r="D12" s="715"/>
      <c r="E12" s="715"/>
    </row>
    <row r="13" spans="1:5" ht="12.75">
      <c r="A13" s="715" t="s">
        <v>2</v>
      </c>
      <c r="B13" s="715"/>
      <c r="C13" s="715"/>
      <c r="D13" s="715"/>
      <c r="E13" s="715"/>
    </row>
    <row r="14" spans="1:4" ht="12.75">
      <c r="A14" s="47"/>
      <c r="B14" s="47"/>
      <c r="C14" s="47"/>
      <c r="D14" s="47"/>
    </row>
    <row r="15" spans="1:4" ht="12.75">
      <c r="A15" s="47"/>
      <c r="B15" s="47"/>
      <c r="C15" s="47"/>
      <c r="D15" s="47"/>
    </row>
    <row r="16" spans="1:5" ht="13.5" thickBot="1">
      <c r="A16" s="1" t="s">
        <v>52</v>
      </c>
      <c r="B16" s="1"/>
      <c r="D16" s="47"/>
      <c r="E16" s="81">
        <v>2020</v>
      </c>
    </row>
    <row r="17" spans="1:5" ht="45.75" thickBot="1">
      <c r="A17" s="91" t="s">
        <v>40</v>
      </c>
      <c r="B17" s="91" t="s">
        <v>41</v>
      </c>
      <c r="C17" s="94" t="s">
        <v>963</v>
      </c>
      <c r="D17" s="92" t="s">
        <v>950</v>
      </c>
      <c r="E17" s="90" t="s">
        <v>144</v>
      </c>
    </row>
    <row r="18" spans="1:5" ht="12.75">
      <c r="A18" s="8"/>
      <c r="B18" s="8"/>
      <c r="C18" s="93"/>
      <c r="D18" s="82"/>
      <c r="E18" s="16"/>
    </row>
    <row r="19" spans="1:7" ht="12.75">
      <c r="A19" s="8" t="s">
        <v>38</v>
      </c>
      <c r="B19" s="8" t="s">
        <v>147</v>
      </c>
      <c r="C19" s="86">
        <v>1566590.45</v>
      </c>
      <c r="D19" s="83">
        <v>594999.66</v>
      </c>
      <c r="E19" s="89">
        <f>C19+D19</f>
        <v>2161590.11</v>
      </c>
      <c r="F19" s="13"/>
      <c r="G19" s="13"/>
    </row>
    <row r="20" spans="1:5" ht="12.75">
      <c r="A20" s="36" t="s">
        <v>960</v>
      </c>
      <c r="B20" s="36" t="s">
        <v>959</v>
      </c>
      <c r="C20" s="86">
        <v>733606.51</v>
      </c>
      <c r="D20" s="83">
        <v>686196.9</v>
      </c>
      <c r="E20" s="89">
        <f>C20+D20</f>
        <v>1419803.4100000001</v>
      </c>
    </row>
    <row r="21" spans="1:5" ht="12.75">
      <c r="A21" s="36" t="s">
        <v>962</v>
      </c>
      <c r="B21" s="36" t="s">
        <v>961</v>
      </c>
      <c r="C21" s="37">
        <v>-184151.37</v>
      </c>
      <c r="D21" s="45"/>
      <c r="E21" s="530">
        <f>C21+D21</f>
        <v>-184151.37</v>
      </c>
    </row>
    <row r="22" spans="1:5" ht="12.75">
      <c r="A22" s="8"/>
      <c r="B22" s="8"/>
      <c r="C22" s="86"/>
      <c r="D22" s="83"/>
      <c r="E22" s="89">
        <f aca="true" t="shared" si="0" ref="E22:E32">C22+D22</f>
        <v>0</v>
      </c>
    </row>
    <row r="23" spans="1:5" ht="12.75">
      <c r="A23" s="8"/>
      <c r="B23" s="8"/>
      <c r="C23" s="87"/>
      <c r="D23" s="82"/>
      <c r="E23" s="89">
        <f t="shared" si="0"/>
        <v>0</v>
      </c>
    </row>
    <row r="24" spans="1:5" ht="12.75">
      <c r="A24" s="8"/>
      <c r="B24" s="8"/>
      <c r="C24" s="87"/>
      <c r="D24" s="82"/>
      <c r="E24" s="89">
        <f t="shared" si="0"/>
        <v>0</v>
      </c>
    </row>
    <row r="25" spans="1:5" ht="12.75">
      <c r="A25" s="8"/>
      <c r="B25" s="8"/>
      <c r="C25" s="86"/>
      <c r="D25" s="83"/>
      <c r="E25" s="89">
        <f t="shared" si="0"/>
        <v>0</v>
      </c>
    </row>
    <row r="26" spans="1:5" ht="12.75">
      <c r="A26" s="8"/>
      <c r="B26" s="8"/>
      <c r="C26" s="87"/>
      <c r="D26" s="82"/>
      <c r="E26" s="89">
        <f t="shared" si="0"/>
        <v>0</v>
      </c>
    </row>
    <row r="27" spans="1:5" ht="12.75">
      <c r="A27" s="8"/>
      <c r="B27" s="8"/>
      <c r="C27" s="87"/>
      <c r="D27" s="82"/>
      <c r="E27" s="89">
        <f t="shared" si="0"/>
        <v>0</v>
      </c>
    </row>
    <row r="28" spans="1:5" ht="12.75">
      <c r="A28" s="8"/>
      <c r="B28" s="8"/>
      <c r="C28" s="87"/>
      <c r="D28" s="82"/>
      <c r="E28" s="89">
        <f t="shared" si="0"/>
        <v>0</v>
      </c>
    </row>
    <row r="29" spans="1:5" ht="12.75">
      <c r="A29" s="8"/>
      <c r="B29" s="8"/>
      <c r="C29" s="87"/>
      <c r="D29" s="82"/>
      <c r="E29" s="89">
        <f t="shared" si="0"/>
        <v>0</v>
      </c>
    </row>
    <row r="30" spans="1:5" ht="12.75">
      <c r="A30" s="14"/>
      <c r="B30" s="8"/>
      <c r="C30" s="87"/>
      <c r="D30" s="84"/>
      <c r="E30" s="89">
        <f t="shared" si="0"/>
        <v>0</v>
      </c>
    </row>
    <row r="31" spans="1:5" ht="12.75">
      <c r="A31" s="14"/>
      <c r="B31" s="8"/>
      <c r="C31" s="87"/>
      <c r="D31" s="84"/>
      <c r="E31" s="89">
        <f t="shared" si="0"/>
        <v>0</v>
      </c>
    </row>
    <row r="32" spans="1:5" ht="12.75">
      <c r="A32" s="14"/>
      <c r="B32" s="8"/>
      <c r="C32" s="87"/>
      <c r="D32" s="84"/>
      <c r="E32" s="89">
        <f t="shared" si="0"/>
        <v>0</v>
      </c>
    </row>
    <row r="33" spans="1:5" ht="12.75">
      <c r="A33" s="723" t="s">
        <v>0</v>
      </c>
      <c r="B33" s="724"/>
      <c r="C33" s="88">
        <f>SUM(C18:C32)</f>
        <v>2116045.59</v>
      </c>
      <c r="D33" s="85">
        <f>SUM(D18:D32)</f>
        <v>1281196.56</v>
      </c>
      <c r="E33" s="89">
        <f>SUM(E19:E32)</f>
        <v>3397242.15</v>
      </c>
    </row>
    <row r="34" spans="4:6" ht="12.75">
      <c r="D34" s="2"/>
      <c r="F34" s="13"/>
    </row>
    <row r="35" spans="2:4" ht="12.75">
      <c r="B35" s="33" t="s">
        <v>80</v>
      </c>
      <c r="C35" s="33"/>
      <c r="D35" s="35"/>
    </row>
    <row r="36" spans="2:4" ht="12.75">
      <c r="B36" s="33" t="s">
        <v>79</v>
      </c>
      <c r="C36" s="33"/>
      <c r="D36" s="41"/>
    </row>
    <row r="37" ht="12.75">
      <c r="D37" s="2"/>
    </row>
    <row r="38" spans="1:4" ht="13.5" thickBot="1">
      <c r="A38" s="3"/>
      <c r="B38" s="34" t="s">
        <v>48</v>
      </c>
      <c r="C38" s="34"/>
      <c r="D38" s="42">
        <f>E33</f>
        <v>3397242.15</v>
      </c>
    </row>
    <row r="39" ht="13.5" thickTop="1"/>
    <row r="40" ht="12.75">
      <c r="F40" s="13">
        <f>D38+'BIENES USO MMUJER'!D45</f>
        <v>88222832.92000002</v>
      </c>
    </row>
  </sheetData>
  <sheetProtection/>
  <mergeCells count="6">
    <mergeCell ref="A13:E13"/>
    <mergeCell ref="A33:B33"/>
    <mergeCell ref="A9:E9"/>
    <mergeCell ref="A10:E10"/>
    <mergeCell ref="A11:E11"/>
    <mergeCell ref="A12:E12"/>
  </mergeCells>
  <printOptions/>
  <pageMargins left="0.31496062992125984" right="0.15748031496062992" top="0.984251968503937" bottom="0.35433070866141736" header="0.3937007874015748" footer="0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1" width="15.7109375" style="0" customWidth="1"/>
    <col min="2" max="2" width="62.7109375" style="0" customWidth="1"/>
    <col min="3" max="3" width="21.421875" style="0" customWidth="1"/>
  </cols>
  <sheetData>
    <row r="1" spans="1:3" ht="13.5" thickBot="1">
      <c r="A1" s="1" t="s">
        <v>52</v>
      </c>
      <c r="B1" s="1"/>
      <c r="C1" s="17">
        <v>20</v>
      </c>
    </row>
    <row r="2" spans="1:3" ht="15">
      <c r="A2" s="9" t="s">
        <v>40</v>
      </c>
      <c r="B2" s="9" t="s">
        <v>41</v>
      </c>
      <c r="C2" s="18" t="s">
        <v>43</v>
      </c>
    </row>
    <row r="3" spans="1:3" ht="12.75">
      <c r="A3" s="8"/>
      <c r="B3" s="8"/>
      <c r="C3" s="44"/>
    </row>
    <row r="4" spans="1:3" ht="12.75">
      <c r="A4" s="36" t="s">
        <v>67</v>
      </c>
      <c r="B4" s="36" t="s">
        <v>68</v>
      </c>
      <c r="C4" s="37">
        <v>0</v>
      </c>
    </row>
    <row r="5" spans="1:3" ht="12.75">
      <c r="A5" s="8"/>
      <c r="B5" s="8"/>
      <c r="C5" s="43"/>
    </row>
    <row r="6" spans="1:3" ht="12.75">
      <c r="A6" s="8"/>
      <c r="B6" s="8"/>
      <c r="C6" s="45"/>
    </row>
    <row r="7" spans="1:3" ht="12.75">
      <c r="A7" s="8"/>
      <c r="B7" s="8"/>
      <c r="C7" s="43"/>
    </row>
    <row r="8" spans="1:3" ht="12.75">
      <c r="A8" s="8"/>
      <c r="B8" s="8"/>
      <c r="C8" s="44"/>
    </row>
    <row r="9" spans="1:3" ht="12.75">
      <c r="A9" s="8"/>
      <c r="B9" s="8"/>
      <c r="C9" s="44"/>
    </row>
    <row r="10" spans="1:3" ht="12.75">
      <c r="A10" s="8"/>
      <c r="B10" s="8"/>
      <c r="C10" s="43"/>
    </row>
    <row r="11" spans="1:3" ht="12.75">
      <c r="A11" s="8"/>
      <c r="B11" s="8"/>
      <c r="C11" s="44"/>
    </row>
    <row r="12" spans="1:3" ht="12.75">
      <c r="A12" s="8"/>
      <c r="B12" s="8"/>
      <c r="C12" s="44"/>
    </row>
    <row r="13" spans="1:3" ht="12.75">
      <c r="A13" s="8"/>
      <c r="B13" s="8"/>
      <c r="C13" s="44"/>
    </row>
    <row r="14" spans="1:3" ht="12.75">
      <c r="A14" s="8"/>
      <c r="B14" s="8"/>
      <c r="C14" s="10"/>
    </row>
    <row r="15" spans="1:3" ht="12.75">
      <c r="A15" s="8"/>
      <c r="B15" s="8"/>
      <c r="C15" s="44"/>
    </row>
    <row r="16" spans="1:3" ht="12.75">
      <c r="A16" s="8"/>
      <c r="B16" s="8"/>
      <c r="C16" s="44"/>
    </row>
    <row r="17" spans="1:3" ht="12.75">
      <c r="A17" s="8"/>
      <c r="B17" s="8"/>
      <c r="C17" s="10"/>
    </row>
    <row r="18" spans="1:3" ht="12.75">
      <c r="A18" s="8"/>
      <c r="B18" s="8"/>
      <c r="C18" s="10"/>
    </row>
    <row r="19" spans="1:3" ht="12.75">
      <c r="A19" s="14"/>
      <c r="B19" s="8"/>
      <c r="C19" s="10"/>
    </row>
    <row r="20" spans="1:3" ht="12.75">
      <c r="A20" s="14"/>
      <c r="B20" s="8"/>
      <c r="C20" s="10"/>
    </row>
    <row r="21" spans="1:3" ht="12.75">
      <c r="A21" s="14"/>
      <c r="B21" s="8"/>
      <c r="C21" s="10"/>
    </row>
    <row r="22" spans="1:3" ht="12.75">
      <c r="A22" s="14"/>
      <c r="B22" s="8"/>
      <c r="C22" s="10"/>
    </row>
    <row r="23" spans="1:3" ht="12.75">
      <c r="A23" s="14"/>
      <c r="B23" s="8"/>
      <c r="C23" s="10"/>
    </row>
    <row r="24" spans="1:3" ht="12.75">
      <c r="A24" s="14"/>
      <c r="B24" s="8"/>
      <c r="C24" s="10"/>
    </row>
    <row r="25" spans="1:3" ht="12.75">
      <c r="A25" s="14"/>
      <c r="B25" s="8"/>
      <c r="C25" s="10"/>
    </row>
    <row r="26" spans="1:3" ht="12.75">
      <c r="A26" s="14"/>
      <c r="B26" s="8"/>
      <c r="C26" s="10"/>
    </row>
    <row r="27" spans="1:3" ht="12.75">
      <c r="A27" s="14"/>
      <c r="B27" s="8"/>
      <c r="C27" s="10"/>
    </row>
    <row r="28" spans="1:3" ht="12.75">
      <c r="A28" s="14"/>
      <c r="B28" s="8"/>
      <c r="C28" s="10"/>
    </row>
    <row r="29" spans="1:3" ht="12.75">
      <c r="A29" s="14"/>
      <c r="B29" s="8"/>
      <c r="C29" s="10"/>
    </row>
    <row r="30" spans="1:3" ht="12.75">
      <c r="A30" s="14"/>
      <c r="B30" s="8"/>
      <c r="C30" s="10"/>
    </row>
    <row r="31" spans="1:3" ht="12.75">
      <c r="A31" s="14"/>
      <c r="B31" s="8"/>
      <c r="C31" s="10"/>
    </row>
    <row r="32" spans="1:3" ht="12.75">
      <c r="A32" s="14"/>
      <c r="B32" s="8"/>
      <c r="C32" s="10"/>
    </row>
    <row r="33" spans="1:3" ht="12.75">
      <c r="A33" s="723" t="s">
        <v>0</v>
      </c>
      <c r="B33" s="724"/>
      <c r="C33" s="11">
        <f>SUM(C3:C32)</f>
        <v>0</v>
      </c>
    </row>
    <row r="34" ht="12.75">
      <c r="C34" s="2"/>
    </row>
    <row r="35" spans="2:3" ht="12.75">
      <c r="B35" s="33" t="s">
        <v>80</v>
      </c>
      <c r="C35" s="35"/>
    </row>
    <row r="36" spans="2:3" ht="12.75">
      <c r="B36" s="33" t="s">
        <v>79</v>
      </c>
      <c r="C36" s="41"/>
    </row>
    <row r="37" ht="12.75">
      <c r="C37" s="2"/>
    </row>
    <row r="38" spans="1:3" ht="13.5" thickBot="1">
      <c r="A38" s="3"/>
      <c r="B38" s="34" t="s">
        <v>48</v>
      </c>
      <c r="C38" s="42">
        <f>SUM(C33:C37)</f>
        <v>0</v>
      </c>
    </row>
    <row r="39" ht="13.5" thickTop="1">
      <c r="C39" s="2"/>
    </row>
  </sheetData>
  <sheetProtection/>
  <mergeCells count="1">
    <mergeCell ref="A33:B33"/>
  </mergeCells>
  <printOptions/>
  <pageMargins left="0.75" right="0.17" top="1" bottom="1" header="0" footer="0"/>
  <pageSetup horizontalDpi="600" verticalDpi="600" orientation="portrait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E4" sqref="E4"/>
    </sheetView>
  </sheetViews>
  <sheetFormatPr defaultColWidth="11.421875" defaultRowHeight="12.75"/>
  <cols>
    <col min="2" max="2" width="83.7109375" style="0" customWidth="1"/>
    <col min="3" max="3" width="15.140625" style="0" customWidth="1"/>
    <col min="4" max="4" width="12.8515625" style="0" bestFit="1" customWidth="1"/>
    <col min="5" max="5" width="15.140625" style="0" customWidth="1"/>
    <col min="6" max="8" width="12.8515625" style="0" bestFit="1" customWidth="1"/>
  </cols>
  <sheetData>
    <row r="1" spans="1:3" ht="13.5" thickBot="1">
      <c r="A1" s="1" t="s">
        <v>52</v>
      </c>
      <c r="B1" s="1"/>
      <c r="C1" s="81">
        <v>2017</v>
      </c>
    </row>
    <row r="2" spans="1:5" ht="15">
      <c r="A2" s="9" t="s">
        <v>40</v>
      </c>
      <c r="B2" s="9" t="s">
        <v>41</v>
      </c>
      <c r="C2" s="18" t="s">
        <v>43</v>
      </c>
      <c r="E2" s="118">
        <v>3800000</v>
      </c>
    </row>
    <row r="3" spans="1:6" ht="12.75">
      <c r="A3" s="14" t="s">
        <v>69</v>
      </c>
      <c r="B3" s="14" t="s">
        <v>70</v>
      </c>
      <c r="C3" s="46">
        <v>8977163.37</v>
      </c>
      <c r="D3" s="118"/>
      <c r="E3" s="118">
        <v>0</v>
      </c>
      <c r="F3" s="349" t="s">
        <v>515</v>
      </c>
    </row>
    <row r="4" spans="1:5" ht="12.75">
      <c r="A4" s="8" t="s">
        <v>501</v>
      </c>
      <c r="B4" s="8" t="s">
        <v>502</v>
      </c>
      <c r="C4" s="46">
        <v>0</v>
      </c>
      <c r="D4" s="118"/>
      <c r="E4" s="7">
        <f>SUM(E2:E3)</f>
        <v>3800000</v>
      </c>
    </row>
    <row r="5" spans="1:3" ht="12.75">
      <c r="A5" s="8" t="s">
        <v>71</v>
      </c>
      <c r="B5" s="8" t="s">
        <v>72</v>
      </c>
      <c r="C5" s="46">
        <v>0</v>
      </c>
    </row>
    <row r="6" spans="1:5" ht="12.75">
      <c r="A6" s="8" t="s">
        <v>73</v>
      </c>
      <c r="B6" s="428" t="s">
        <v>74</v>
      </c>
      <c r="C6" s="46">
        <v>0</v>
      </c>
      <c r="D6" s="7"/>
      <c r="E6" s="7"/>
    </row>
    <row r="7" spans="1:5" ht="12.75">
      <c r="A7" s="8"/>
      <c r="B7" s="8" t="s">
        <v>209</v>
      </c>
      <c r="C7" s="46">
        <v>0</v>
      </c>
      <c r="D7" s="7"/>
      <c r="E7" s="349" t="s">
        <v>676</v>
      </c>
    </row>
    <row r="8" spans="1:7" ht="12.75">
      <c r="A8" s="8"/>
      <c r="B8" s="8"/>
      <c r="C8" s="46">
        <v>0</v>
      </c>
      <c r="E8" s="13">
        <f>SUM(E6:E7)</f>
        <v>0</v>
      </c>
      <c r="G8" s="7">
        <v>600000</v>
      </c>
    </row>
    <row r="9" spans="1:7" ht="12.75">
      <c r="A9" s="8"/>
      <c r="B9" s="8"/>
      <c r="C9" s="19">
        <v>0</v>
      </c>
      <c r="G9" s="7">
        <v>739000</v>
      </c>
    </row>
    <row r="10" spans="1:7" ht="15">
      <c r="A10" s="8"/>
      <c r="B10" s="8"/>
      <c r="C10" s="10"/>
      <c r="G10" s="418">
        <v>2896666.67</v>
      </c>
    </row>
    <row r="11" spans="1:7" ht="12.75">
      <c r="A11" s="8"/>
      <c r="B11" s="8"/>
      <c r="C11" s="44"/>
      <c r="E11" s="118"/>
      <c r="G11" s="13">
        <f>SUM(G8:G10)</f>
        <v>4235666.67</v>
      </c>
    </row>
    <row r="12" spans="1:4" ht="12.75">
      <c r="A12" s="8"/>
      <c r="B12" s="8"/>
      <c r="C12" s="44"/>
      <c r="D12" s="118"/>
    </row>
    <row r="13" spans="1:6" ht="12.75">
      <c r="A13" s="8"/>
      <c r="B13" s="8"/>
      <c r="C13" s="10"/>
      <c r="F13" s="118">
        <f>17956462.2-G11-E4</f>
        <v>9920795.53</v>
      </c>
    </row>
    <row r="14" spans="1:8" ht="12.75">
      <c r="A14" s="8"/>
      <c r="B14" s="8"/>
      <c r="C14" s="10"/>
      <c r="H14" s="118">
        <f>E2+G11</f>
        <v>8035666.67</v>
      </c>
    </row>
    <row r="15" spans="1:8" ht="12.75">
      <c r="A15" s="14"/>
      <c r="B15" s="8"/>
      <c r="C15" s="10"/>
      <c r="H15" s="118">
        <f>17956462.2-H14</f>
        <v>9920795.53</v>
      </c>
    </row>
    <row r="16" spans="1:3" ht="12.75">
      <c r="A16" s="14"/>
      <c r="B16" s="8"/>
      <c r="C16" s="10"/>
    </row>
    <row r="17" spans="1:3" ht="12.75">
      <c r="A17" s="14"/>
      <c r="B17" s="8"/>
      <c r="C17" s="10"/>
    </row>
    <row r="18" spans="1:3" ht="12.75">
      <c r="A18" s="14"/>
      <c r="B18" s="8"/>
      <c r="C18" s="10"/>
    </row>
    <row r="19" spans="1:3" ht="12.75">
      <c r="A19" s="14"/>
      <c r="B19" s="8"/>
      <c r="C19" s="10"/>
    </row>
    <row r="20" spans="1:3" ht="12.75">
      <c r="A20" s="14"/>
      <c r="B20" s="8"/>
      <c r="C20" s="10"/>
    </row>
    <row r="21" spans="1:3" ht="12.75">
      <c r="A21" s="14"/>
      <c r="B21" s="8"/>
      <c r="C21" s="10"/>
    </row>
    <row r="22" spans="1:3" ht="12.75">
      <c r="A22" s="14"/>
      <c r="B22" s="8"/>
      <c r="C22" s="10"/>
    </row>
    <row r="23" spans="1:3" ht="12.75">
      <c r="A23" s="14"/>
      <c r="B23" s="8"/>
      <c r="C23" s="10"/>
    </row>
    <row r="24" spans="1:3" ht="12.75">
      <c r="A24" s="14"/>
      <c r="B24" s="8"/>
      <c r="C24" s="10"/>
    </row>
    <row r="25" spans="1:3" ht="12.75">
      <c r="A25" s="14"/>
      <c r="B25" s="8"/>
      <c r="C25" s="10"/>
    </row>
    <row r="26" spans="1:3" ht="12.75">
      <c r="A26" s="14"/>
      <c r="B26" s="8"/>
      <c r="C26" s="10"/>
    </row>
    <row r="27" spans="1:3" ht="12.75">
      <c r="A27" s="14"/>
      <c r="B27" s="8"/>
      <c r="C27" s="10"/>
    </row>
    <row r="28" spans="1:3" ht="12.75">
      <c r="A28" s="14"/>
      <c r="B28" s="8"/>
      <c r="C28" s="10"/>
    </row>
    <row r="29" spans="1:5" ht="12.75">
      <c r="A29" s="723" t="s">
        <v>0</v>
      </c>
      <c r="B29" s="724"/>
      <c r="C29" s="11">
        <f>SUM(C3:C28)</f>
        <v>8977163.37</v>
      </c>
      <c r="D29" s="118"/>
      <c r="E29" s="118">
        <f>C29-140000</f>
        <v>8837163.37</v>
      </c>
    </row>
    <row r="30" spans="3:4" ht="12.75">
      <c r="C30" s="2"/>
      <c r="D30" s="118"/>
    </row>
    <row r="31" spans="2:3" ht="12.75">
      <c r="B31" s="33" t="s">
        <v>80</v>
      </c>
      <c r="C31" s="35"/>
    </row>
    <row r="32" spans="2:3" ht="12.75">
      <c r="B32" s="33" t="s">
        <v>106</v>
      </c>
      <c r="C32" s="41"/>
    </row>
    <row r="33" ht="12.75">
      <c r="C33" s="2"/>
    </row>
    <row r="34" spans="1:3" ht="13.5" thickBot="1">
      <c r="A34" s="3"/>
      <c r="B34" s="34" t="s">
        <v>48</v>
      </c>
      <c r="C34" s="42">
        <f>SUM(C29:C33)</f>
        <v>8977163.37</v>
      </c>
    </row>
    <row r="35" ht="13.5" thickTop="1">
      <c r="C35" s="2"/>
    </row>
    <row r="37" ht="12.75">
      <c r="C37" s="118">
        <f>6154594.05-813550</f>
        <v>5341044.05</v>
      </c>
    </row>
    <row r="38" ht="12.75">
      <c r="C38" s="118"/>
    </row>
  </sheetData>
  <sheetProtection/>
  <mergeCells count="1">
    <mergeCell ref="A29:B29"/>
  </mergeCells>
  <printOptions/>
  <pageMargins left="0.17" right="0.32" top="1" bottom="0.45" header="0" footer="0"/>
  <pageSetup horizontalDpi="600" verticalDpi="600" orientation="portrait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1:L134"/>
  <sheetViews>
    <sheetView zoomScalePageLayoutView="0" workbookViewId="0" topLeftCell="A1">
      <selection activeCell="O13" sqref="O13"/>
    </sheetView>
  </sheetViews>
  <sheetFormatPr defaultColWidth="11.421875" defaultRowHeight="12.75"/>
  <cols>
    <col min="10" max="10" width="14.00390625" style="0" customWidth="1"/>
    <col min="11" max="11" width="13.28125" style="0" bestFit="1" customWidth="1"/>
  </cols>
  <sheetData>
    <row r="11" spans="1:12" ht="15">
      <c r="A11" s="740" t="s">
        <v>237</v>
      </c>
      <c r="B11" s="741"/>
      <c r="C11" s="740">
        <v>10147</v>
      </c>
      <c r="D11" s="741"/>
      <c r="E11" s="290" t="s">
        <v>238</v>
      </c>
      <c r="F11" s="740" t="s">
        <v>239</v>
      </c>
      <c r="G11" s="741"/>
      <c r="H11" s="742" t="s">
        <v>240</v>
      </c>
      <c r="I11" s="741"/>
      <c r="J11" s="291">
        <v>3900</v>
      </c>
      <c r="K11" s="291">
        <v>0</v>
      </c>
      <c r="L11" s="290" t="s">
        <v>241</v>
      </c>
    </row>
    <row r="12" spans="1:12" ht="15">
      <c r="A12" s="740" t="s">
        <v>237</v>
      </c>
      <c r="B12" s="741"/>
      <c r="C12" s="740">
        <v>10148</v>
      </c>
      <c r="D12" s="741"/>
      <c r="E12" s="290" t="s">
        <v>242</v>
      </c>
      <c r="F12" s="740" t="s">
        <v>239</v>
      </c>
      <c r="G12" s="741"/>
      <c r="H12" s="742" t="s">
        <v>240</v>
      </c>
      <c r="I12" s="741"/>
      <c r="J12" s="291">
        <v>1500</v>
      </c>
      <c r="K12" s="291">
        <v>0</v>
      </c>
      <c r="L12" s="290" t="s">
        <v>241</v>
      </c>
    </row>
    <row r="13" spans="1:12" ht="15">
      <c r="A13" s="740" t="s">
        <v>237</v>
      </c>
      <c r="B13" s="741"/>
      <c r="C13" s="740">
        <v>10149</v>
      </c>
      <c r="D13" s="741"/>
      <c r="E13" s="290" t="s">
        <v>243</v>
      </c>
      <c r="F13" s="740" t="s">
        <v>239</v>
      </c>
      <c r="G13" s="741"/>
      <c r="H13" s="742" t="s">
        <v>240</v>
      </c>
      <c r="I13" s="741"/>
      <c r="J13" s="291">
        <v>2400</v>
      </c>
      <c r="K13" s="291">
        <v>0</v>
      </c>
      <c r="L13" s="290" t="s">
        <v>241</v>
      </c>
    </row>
    <row r="14" spans="1:12" ht="15">
      <c r="A14" s="740" t="s">
        <v>237</v>
      </c>
      <c r="B14" s="741"/>
      <c r="C14" s="740">
        <v>10150</v>
      </c>
      <c r="D14" s="741"/>
      <c r="E14" s="290" t="s">
        <v>244</v>
      </c>
      <c r="F14" s="740" t="s">
        <v>239</v>
      </c>
      <c r="G14" s="741"/>
      <c r="H14" s="742" t="s">
        <v>240</v>
      </c>
      <c r="I14" s="741"/>
      <c r="J14" s="291">
        <v>1500</v>
      </c>
      <c r="K14" s="291">
        <v>0</v>
      </c>
      <c r="L14" s="290" t="s">
        <v>241</v>
      </c>
    </row>
    <row r="15" spans="1:12" ht="15">
      <c r="A15" s="740" t="s">
        <v>237</v>
      </c>
      <c r="B15" s="741"/>
      <c r="C15" s="740">
        <v>10151</v>
      </c>
      <c r="D15" s="741"/>
      <c r="E15" s="290" t="s">
        <v>245</v>
      </c>
      <c r="F15" s="740" t="s">
        <v>239</v>
      </c>
      <c r="G15" s="741"/>
      <c r="H15" s="742" t="s">
        <v>240</v>
      </c>
      <c r="I15" s="741"/>
      <c r="J15" s="291">
        <v>1500</v>
      </c>
      <c r="K15" s="291">
        <v>0</v>
      </c>
      <c r="L15" s="290" t="s">
        <v>241</v>
      </c>
    </row>
    <row r="16" spans="1:12" ht="15">
      <c r="A16" s="740" t="s">
        <v>246</v>
      </c>
      <c r="B16" s="741"/>
      <c r="C16" s="740">
        <v>10152</v>
      </c>
      <c r="D16" s="741"/>
      <c r="E16" s="290" t="s">
        <v>247</v>
      </c>
      <c r="F16" s="740" t="s">
        <v>239</v>
      </c>
      <c r="G16" s="741"/>
      <c r="H16" s="742" t="s">
        <v>240</v>
      </c>
      <c r="I16" s="741"/>
      <c r="J16" s="291">
        <v>28560</v>
      </c>
      <c r="K16" s="291">
        <v>0</v>
      </c>
      <c r="L16" s="290" t="s">
        <v>241</v>
      </c>
    </row>
    <row r="17" spans="1:12" ht="15">
      <c r="A17" s="740" t="s">
        <v>248</v>
      </c>
      <c r="B17" s="741"/>
      <c r="C17" s="740">
        <v>10155</v>
      </c>
      <c r="D17" s="741"/>
      <c r="E17" s="290" t="s">
        <v>249</v>
      </c>
      <c r="F17" s="740" t="s">
        <v>239</v>
      </c>
      <c r="G17" s="741"/>
      <c r="H17" s="742" t="s">
        <v>240</v>
      </c>
      <c r="I17" s="741"/>
      <c r="J17" s="291">
        <v>3900</v>
      </c>
      <c r="K17" s="291">
        <v>0</v>
      </c>
      <c r="L17" s="290" t="s">
        <v>241</v>
      </c>
    </row>
    <row r="18" spans="1:12" ht="15">
      <c r="A18" s="740" t="s">
        <v>248</v>
      </c>
      <c r="B18" s="741"/>
      <c r="C18" s="740">
        <v>10156</v>
      </c>
      <c r="D18" s="741"/>
      <c r="E18" s="290" t="s">
        <v>250</v>
      </c>
      <c r="F18" s="740" t="s">
        <v>239</v>
      </c>
      <c r="G18" s="741"/>
      <c r="H18" s="742" t="s">
        <v>240</v>
      </c>
      <c r="I18" s="741"/>
      <c r="J18" s="291">
        <v>1500</v>
      </c>
      <c r="K18" s="291">
        <v>0</v>
      </c>
      <c r="L18" s="290" t="s">
        <v>241</v>
      </c>
    </row>
    <row r="19" spans="1:12" ht="15">
      <c r="A19" s="740" t="s">
        <v>248</v>
      </c>
      <c r="B19" s="741"/>
      <c r="C19" s="740">
        <v>10157</v>
      </c>
      <c r="D19" s="741"/>
      <c r="E19" s="290" t="s">
        <v>251</v>
      </c>
      <c r="F19" s="740" t="s">
        <v>239</v>
      </c>
      <c r="G19" s="741"/>
      <c r="H19" s="742" t="s">
        <v>240</v>
      </c>
      <c r="I19" s="741"/>
      <c r="J19" s="291">
        <v>2400</v>
      </c>
      <c r="K19" s="291">
        <v>0</v>
      </c>
      <c r="L19" s="290" t="s">
        <v>241</v>
      </c>
    </row>
    <row r="20" spans="1:12" ht="15">
      <c r="A20" s="740" t="s">
        <v>248</v>
      </c>
      <c r="B20" s="741"/>
      <c r="C20" s="740">
        <v>10158</v>
      </c>
      <c r="D20" s="741"/>
      <c r="E20" s="290" t="s">
        <v>252</v>
      </c>
      <c r="F20" s="740" t="s">
        <v>239</v>
      </c>
      <c r="G20" s="741"/>
      <c r="H20" s="742" t="s">
        <v>240</v>
      </c>
      <c r="I20" s="741"/>
      <c r="J20" s="291">
        <v>1500</v>
      </c>
      <c r="K20" s="291">
        <v>0</v>
      </c>
      <c r="L20" s="290" t="s">
        <v>241</v>
      </c>
    </row>
    <row r="21" spans="1:12" ht="15">
      <c r="A21" s="740" t="s">
        <v>253</v>
      </c>
      <c r="B21" s="741"/>
      <c r="C21" s="740">
        <v>10161</v>
      </c>
      <c r="D21" s="741"/>
      <c r="E21" s="290" t="s">
        <v>254</v>
      </c>
      <c r="F21" s="740" t="s">
        <v>239</v>
      </c>
      <c r="G21" s="741"/>
      <c r="H21" s="742" t="s">
        <v>240</v>
      </c>
      <c r="I21" s="741"/>
      <c r="J21" s="291">
        <v>3900</v>
      </c>
      <c r="K21" s="291">
        <v>0</v>
      </c>
      <c r="L21" s="290" t="s">
        <v>241</v>
      </c>
    </row>
    <row r="22" spans="1:12" ht="15">
      <c r="A22" s="740" t="s">
        <v>253</v>
      </c>
      <c r="B22" s="741"/>
      <c r="C22" s="740">
        <v>10162</v>
      </c>
      <c r="D22" s="741"/>
      <c r="E22" s="290" t="s">
        <v>255</v>
      </c>
      <c r="F22" s="740" t="s">
        <v>239</v>
      </c>
      <c r="G22" s="741"/>
      <c r="H22" s="742" t="s">
        <v>240</v>
      </c>
      <c r="I22" s="741"/>
      <c r="J22" s="291">
        <v>1500</v>
      </c>
      <c r="K22" s="291">
        <v>0</v>
      </c>
      <c r="L22" s="290" t="s">
        <v>241</v>
      </c>
    </row>
    <row r="23" spans="1:12" ht="15">
      <c r="A23" s="740" t="s">
        <v>253</v>
      </c>
      <c r="B23" s="741"/>
      <c r="C23" s="740">
        <v>10163</v>
      </c>
      <c r="D23" s="741"/>
      <c r="E23" s="290" t="s">
        <v>256</v>
      </c>
      <c r="F23" s="740" t="s">
        <v>239</v>
      </c>
      <c r="G23" s="741"/>
      <c r="H23" s="742" t="s">
        <v>240</v>
      </c>
      <c r="I23" s="741"/>
      <c r="J23" s="291">
        <v>2400</v>
      </c>
      <c r="K23" s="291">
        <v>0</v>
      </c>
      <c r="L23" s="290" t="s">
        <v>241</v>
      </c>
    </row>
    <row r="24" spans="1:12" ht="15">
      <c r="A24" s="740" t="s">
        <v>253</v>
      </c>
      <c r="B24" s="741"/>
      <c r="C24" s="740">
        <v>10164</v>
      </c>
      <c r="D24" s="741"/>
      <c r="E24" s="290" t="s">
        <v>257</v>
      </c>
      <c r="F24" s="740" t="s">
        <v>239</v>
      </c>
      <c r="G24" s="741"/>
      <c r="H24" s="742" t="s">
        <v>240</v>
      </c>
      <c r="I24" s="741"/>
      <c r="J24" s="292">
        <v>1500</v>
      </c>
      <c r="K24" s="291">
        <v>0</v>
      </c>
      <c r="L24" s="290" t="s">
        <v>241</v>
      </c>
    </row>
    <row r="25" spans="1:12" ht="15">
      <c r="A25" s="293"/>
      <c r="B25" s="293"/>
      <c r="C25" s="293"/>
      <c r="D25" s="293"/>
      <c r="E25" s="293"/>
      <c r="F25" s="293"/>
      <c r="G25" s="293"/>
      <c r="H25" s="293"/>
      <c r="I25" s="293"/>
      <c r="J25" s="294">
        <v>57960</v>
      </c>
      <c r="K25" s="293"/>
      <c r="L25" s="293"/>
    </row>
    <row r="28" spans="1:12" ht="15">
      <c r="A28" s="740" t="s">
        <v>237</v>
      </c>
      <c r="B28" s="741"/>
      <c r="C28" s="740">
        <v>10150</v>
      </c>
      <c r="D28" s="741"/>
      <c r="E28" s="290" t="s">
        <v>244</v>
      </c>
      <c r="F28" s="740" t="s">
        <v>258</v>
      </c>
      <c r="G28" s="741"/>
      <c r="H28" s="742" t="s">
        <v>259</v>
      </c>
      <c r="I28" s="741"/>
      <c r="J28" s="291">
        <v>60</v>
      </c>
      <c r="K28" s="291">
        <v>0</v>
      </c>
      <c r="L28" s="290" t="s">
        <v>241</v>
      </c>
    </row>
    <row r="29" spans="1:12" ht="15">
      <c r="A29" s="293"/>
      <c r="B29" s="293"/>
      <c r="C29" s="293"/>
      <c r="D29" s="293"/>
      <c r="E29" s="293"/>
      <c r="F29" s="293"/>
      <c r="G29" s="293"/>
      <c r="H29" s="293"/>
      <c r="I29" s="293"/>
      <c r="J29" s="294">
        <v>60</v>
      </c>
      <c r="K29" s="293"/>
      <c r="L29" s="293"/>
    </row>
    <row r="32" spans="1:12" ht="15">
      <c r="A32" s="740" t="s">
        <v>246</v>
      </c>
      <c r="B32" s="741"/>
      <c r="C32" s="740">
        <v>10153</v>
      </c>
      <c r="D32" s="741"/>
      <c r="E32" s="290" t="s">
        <v>260</v>
      </c>
      <c r="F32" s="740" t="s">
        <v>261</v>
      </c>
      <c r="G32" s="741"/>
      <c r="H32" s="742" t="s">
        <v>262</v>
      </c>
      <c r="I32" s="741"/>
      <c r="J32" s="291">
        <v>24</v>
      </c>
      <c r="K32" s="291">
        <v>0</v>
      </c>
      <c r="L32" s="290" t="s">
        <v>241</v>
      </c>
    </row>
    <row r="33" spans="1:12" ht="15">
      <c r="A33" s="740" t="s">
        <v>246</v>
      </c>
      <c r="B33" s="741"/>
      <c r="C33" s="740">
        <v>10153</v>
      </c>
      <c r="D33" s="741"/>
      <c r="E33" s="290" t="s">
        <v>260</v>
      </c>
      <c r="F33" s="740" t="s">
        <v>263</v>
      </c>
      <c r="G33" s="741"/>
      <c r="H33" s="742" t="s">
        <v>264</v>
      </c>
      <c r="I33" s="741"/>
      <c r="J33" s="291">
        <v>8149.05</v>
      </c>
      <c r="K33" s="291">
        <v>0</v>
      </c>
      <c r="L33" s="290" t="s">
        <v>241</v>
      </c>
    </row>
    <row r="34" spans="1:12" ht="15">
      <c r="A34" s="740" t="s">
        <v>265</v>
      </c>
      <c r="B34" s="741"/>
      <c r="C34" s="740">
        <v>10160</v>
      </c>
      <c r="D34" s="741"/>
      <c r="E34" s="290" t="s">
        <v>266</v>
      </c>
      <c r="F34" s="740" t="s">
        <v>263</v>
      </c>
      <c r="G34" s="741"/>
      <c r="H34" s="742" t="s">
        <v>264</v>
      </c>
      <c r="I34" s="741"/>
      <c r="J34" s="291">
        <v>12338.08</v>
      </c>
      <c r="K34" s="291">
        <v>0</v>
      </c>
      <c r="L34" s="290" t="s">
        <v>241</v>
      </c>
    </row>
    <row r="35" spans="1:12" ht="15">
      <c r="A35" s="293"/>
      <c r="B35" s="293"/>
      <c r="C35" s="293"/>
      <c r="D35" s="293"/>
      <c r="E35" s="293"/>
      <c r="F35" s="293"/>
      <c r="G35" s="293"/>
      <c r="H35" s="293"/>
      <c r="I35" s="293"/>
      <c r="J35" s="294">
        <v>20511.13</v>
      </c>
      <c r="K35" s="293"/>
      <c r="L35" s="293"/>
    </row>
    <row r="37" spans="1:12" ht="15">
      <c r="A37" s="740" t="s">
        <v>265</v>
      </c>
      <c r="B37" s="741"/>
      <c r="C37" s="740">
        <v>10160</v>
      </c>
      <c r="D37" s="741"/>
      <c r="E37" s="290" t="s">
        <v>266</v>
      </c>
      <c r="F37" s="740" t="s">
        <v>267</v>
      </c>
      <c r="G37" s="741"/>
      <c r="H37" s="742" t="s">
        <v>268</v>
      </c>
      <c r="I37" s="741"/>
      <c r="J37" s="291">
        <v>2303.61</v>
      </c>
      <c r="K37" s="291">
        <v>0</v>
      </c>
      <c r="L37" s="290" t="s">
        <v>241</v>
      </c>
    </row>
    <row r="38" spans="1:12" ht="15">
      <c r="A38" s="293"/>
      <c r="B38" s="293"/>
      <c r="C38" s="293"/>
      <c r="D38" s="293"/>
      <c r="E38" s="293"/>
      <c r="F38" s="293"/>
      <c r="G38" s="293"/>
      <c r="H38" s="293"/>
      <c r="I38" s="293"/>
      <c r="J38" s="294">
        <v>2303.61</v>
      </c>
      <c r="K38" s="293"/>
      <c r="L38" s="293"/>
    </row>
    <row r="41" spans="1:12" ht="15">
      <c r="A41" s="740" t="s">
        <v>246</v>
      </c>
      <c r="B41" s="741"/>
      <c r="C41" s="740">
        <v>10153</v>
      </c>
      <c r="D41" s="741"/>
      <c r="E41" s="290" t="s">
        <v>260</v>
      </c>
      <c r="F41" s="740" t="s">
        <v>269</v>
      </c>
      <c r="G41" s="741"/>
      <c r="H41" s="742" t="s">
        <v>270</v>
      </c>
      <c r="I41" s="741"/>
      <c r="J41" s="291">
        <v>510.76</v>
      </c>
      <c r="K41" s="291">
        <v>0</v>
      </c>
      <c r="L41" s="290" t="s">
        <v>241</v>
      </c>
    </row>
    <row r="42" spans="1:12" ht="15">
      <c r="A42" s="293"/>
      <c r="B42" s="293"/>
      <c r="C42" s="293"/>
      <c r="D42" s="293"/>
      <c r="E42" s="293"/>
      <c r="F42" s="293"/>
      <c r="G42" s="293"/>
      <c r="H42" s="293"/>
      <c r="I42" s="293"/>
      <c r="J42" s="294">
        <v>510.76</v>
      </c>
      <c r="K42" s="293"/>
      <c r="L42" s="293"/>
    </row>
    <row r="44" spans="1:12" ht="15">
      <c r="A44" s="740" t="s">
        <v>246</v>
      </c>
      <c r="B44" s="741"/>
      <c r="C44" s="740">
        <v>10154</v>
      </c>
      <c r="D44" s="741"/>
      <c r="E44" s="290" t="s">
        <v>271</v>
      </c>
      <c r="F44" s="740" t="s">
        <v>272</v>
      </c>
      <c r="G44" s="741"/>
      <c r="H44" s="742" t="s">
        <v>273</v>
      </c>
      <c r="I44" s="741"/>
      <c r="J44" s="291">
        <v>650</v>
      </c>
      <c r="K44" s="291">
        <v>0</v>
      </c>
      <c r="L44" s="290" t="s">
        <v>241</v>
      </c>
    </row>
    <row r="45" spans="1:12" ht="15">
      <c r="A45" s="293"/>
      <c r="B45" s="293"/>
      <c r="C45" s="293"/>
      <c r="D45" s="293"/>
      <c r="E45" s="293"/>
      <c r="F45" s="293"/>
      <c r="G45" s="293"/>
      <c r="H45" s="293"/>
      <c r="I45" s="293"/>
      <c r="J45" s="294">
        <v>650</v>
      </c>
      <c r="K45" s="293"/>
      <c r="L45" s="293"/>
    </row>
    <row r="48" spans="1:12" ht="15">
      <c r="A48" s="740" t="s">
        <v>246</v>
      </c>
      <c r="B48" s="741"/>
      <c r="C48" s="740">
        <v>10154</v>
      </c>
      <c r="D48" s="741"/>
      <c r="E48" s="290" t="s">
        <v>271</v>
      </c>
      <c r="F48" s="740" t="s">
        <v>274</v>
      </c>
      <c r="G48" s="741"/>
      <c r="H48" s="742" t="s">
        <v>275</v>
      </c>
      <c r="I48" s="741"/>
      <c r="J48" s="291">
        <v>1484.39</v>
      </c>
      <c r="K48" s="291">
        <v>0</v>
      </c>
      <c r="L48" s="290" t="s">
        <v>241</v>
      </c>
    </row>
    <row r="49" spans="1:12" ht="15">
      <c r="A49" s="293"/>
      <c r="B49" s="293"/>
      <c r="C49" s="293"/>
      <c r="D49" s="293"/>
      <c r="E49" s="293"/>
      <c r="F49" s="293"/>
      <c r="G49" s="293"/>
      <c r="H49" s="293"/>
      <c r="I49" s="293"/>
      <c r="J49" s="294">
        <v>1484.39</v>
      </c>
      <c r="K49" s="293"/>
      <c r="L49" s="293"/>
    </row>
    <row r="52" spans="1:12" ht="15">
      <c r="A52" s="740" t="s">
        <v>246</v>
      </c>
      <c r="B52" s="741"/>
      <c r="C52" s="740">
        <v>10154</v>
      </c>
      <c r="D52" s="741"/>
      <c r="E52" s="290" t="s">
        <v>271</v>
      </c>
      <c r="F52" s="740" t="s">
        <v>276</v>
      </c>
      <c r="G52" s="741"/>
      <c r="H52" s="742" t="s">
        <v>277</v>
      </c>
      <c r="I52" s="741"/>
      <c r="J52" s="291">
        <v>5129.68</v>
      </c>
      <c r="K52" s="291">
        <v>0</v>
      </c>
      <c r="L52" s="290" t="s">
        <v>241</v>
      </c>
    </row>
    <row r="53" spans="1:12" ht="15">
      <c r="A53" s="293"/>
      <c r="B53" s="293"/>
      <c r="C53" s="293"/>
      <c r="D53" s="293"/>
      <c r="E53" s="293"/>
      <c r="F53" s="293"/>
      <c r="G53" s="293"/>
      <c r="H53" s="293"/>
      <c r="I53" s="293"/>
      <c r="J53" s="294">
        <v>5129.68</v>
      </c>
      <c r="K53" s="293"/>
      <c r="L53" s="293"/>
    </row>
    <row r="56" spans="1:12" ht="15">
      <c r="A56" s="740" t="s">
        <v>246</v>
      </c>
      <c r="B56" s="741"/>
      <c r="C56" s="740">
        <v>10153</v>
      </c>
      <c r="D56" s="741"/>
      <c r="E56" s="290" t="s">
        <v>260</v>
      </c>
      <c r="F56" s="740" t="s">
        <v>278</v>
      </c>
      <c r="G56" s="741"/>
      <c r="H56" s="742" t="s">
        <v>279</v>
      </c>
      <c r="I56" s="741"/>
      <c r="J56" s="291">
        <v>4793.95</v>
      </c>
      <c r="K56" s="291">
        <v>0</v>
      </c>
      <c r="L56" s="290" t="s">
        <v>241</v>
      </c>
    </row>
    <row r="57" spans="1:12" ht="15">
      <c r="A57" s="740" t="s">
        <v>246</v>
      </c>
      <c r="B57" s="741"/>
      <c r="C57" s="740">
        <v>10153</v>
      </c>
      <c r="D57" s="741"/>
      <c r="E57" s="290" t="s">
        <v>260</v>
      </c>
      <c r="F57" s="740" t="s">
        <v>280</v>
      </c>
      <c r="G57" s="741"/>
      <c r="H57" s="742" t="s">
        <v>281</v>
      </c>
      <c r="I57" s="741"/>
      <c r="J57" s="291">
        <v>165.25</v>
      </c>
      <c r="K57" s="291">
        <v>0</v>
      </c>
      <c r="L57" s="290" t="s">
        <v>241</v>
      </c>
    </row>
    <row r="58" spans="1:12" ht="15">
      <c r="A58" s="740" t="s">
        <v>246</v>
      </c>
      <c r="B58" s="741"/>
      <c r="C58" s="740">
        <v>10153</v>
      </c>
      <c r="D58" s="741"/>
      <c r="E58" s="290" t="s">
        <v>260</v>
      </c>
      <c r="F58" s="740" t="s">
        <v>282</v>
      </c>
      <c r="G58" s="741"/>
      <c r="H58" s="742" t="s">
        <v>283</v>
      </c>
      <c r="I58" s="741"/>
      <c r="J58" s="291">
        <v>179.99</v>
      </c>
      <c r="K58" s="291">
        <v>0</v>
      </c>
      <c r="L58" s="290" t="s">
        <v>241</v>
      </c>
    </row>
    <row r="59" spans="1:12" ht="15">
      <c r="A59" s="740" t="s">
        <v>246</v>
      </c>
      <c r="B59" s="741"/>
      <c r="C59" s="740">
        <v>10154</v>
      </c>
      <c r="D59" s="741"/>
      <c r="E59" s="290" t="s">
        <v>271</v>
      </c>
      <c r="F59" s="740" t="s">
        <v>280</v>
      </c>
      <c r="G59" s="741"/>
      <c r="H59" s="742" t="s">
        <v>281</v>
      </c>
      <c r="I59" s="741"/>
      <c r="J59" s="291">
        <v>2592.61</v>
      </c>
      <c r="K59" s="291">
        <v>0</v>
      </c>
      <c r="L59" s="290" t="s">
        <v>241</v>
      </c>
    </row>
    <row r="60" spans="1:12" ht="15">
      <c r="A60" s="740" t="s">
        <v>246</v>
      </c>
      <c r="B60" s="741"/>
      <c r="C60" s="740">
        <v>10154</v>
      </c>
      <c r="D60" s="741"/>
      <c r="E60" s="290" t="s">
        <v>271</v>
      </c>
      <c r="F60" s="740" t="s">
        <v>284</v>
      </c>
      <c r="G60" s="741"/>
      <c r="H60" s="742" t="s">
        <v>285</v>
      </c>
      <c r="I60" s="741"/>
      <c r="J60" s="291">
        <v>6100</v>
      </c>
      <c r="K60" s="291">
        <v>0</v>
      </c>
      <c r="L60" s="290" t="s">
        <v>241</v>
      </c>
    </row>
    <row r="61" spans="1:12" ht="15">
      <c r="A61" s="740" t="s">
        <v>246</v>
      </c>
      <c r="B61" s="741"/>
      <c r="C61" s="740">
        <v>10154</v>
      </c>
      <c r="D61" s="741"/>
      <c r="E61" s="290" t="s">
        <v>271</v>
      </c>
      <c r="F61" s="740" t="s">
        <v>278</v>
      </c>
      <c r="G61" s="741"/>
      <c r="H61" s="742" t="s">
        <v>279</v>
      </c>
      <c r="I61" s="741"/>
      <c r="J61" s="291">
        <v>2575</v>
      </c>
      <c r="K61" s="291">
        <v>0</v>
      </c>
      <c r="L61" s="290" t="s">
        <v>241</v>
      </c>
    </row>
    <row r="62" spans="1:12" ht="15">
      <c r="A62" s="740" t="s">
        <v>265</v>
      </c>
      <c r="B62" s="741"/>
      <c r="C62" s="740">
        <v>10160</v>
      </c>
      <c r="D62" s="741"/>
      <c r="E62" s="290" t="s">
        <v>266</v>
      </c>
      <c r="F62" s="740" t="s">
        <v>278</v>
      </c>
      <c r="G62" s="741"/>
      <c r="H62" s="742" t="s">
        <v>279</v>
      </c>
      <c r="I62" s="741"/>
      <c r="J62" s="291">
        <v>909.95</v>
      </c>
      <c r="K62" s="291">
        <v>0</v>
      </c>
      <c r="L62" s="290" t="s">
        <v>241</v>
      </c>
    </row>
    <row r="63" spans="1:12" ht="15">
      <c r="A63" s="740" t="s">
        <v>265</v>
      </c>
      <c r="B63" s="741"/>
      <c r="C63" s="740">
        <v>10160</v>
      </c>
      <c r="D63" s="741"/>
      <c r="E63" s="290" t="s">
        <v>266</v>
      </c>
      <c r="F63" s="740" t="s">
        <v>286</v>
      </c>
      <c r="G63" s="741"/>
      <c r="H63" s="742" t="s">
        <v>287</v>
      </c>
      <c r="I63" s="741"/>
      <c r="J63" s="291">
        <v>80</v>
      </c>
      <c r="K63" s="291">
        <v>0</v>
      </c>
      <c r="L63" s="290" t="s">
        <v>241</v>
      </c>
    </row>
    <row r="64" spans="1:12" ht="15">
      <c r="A64" s="293"/>
      <c r="B64" s="293"/>
      <c r="C64" s="293"/>
      <c r="D64" s="293"/>
      <c r="E64" s="293"/>
      <c r="F64" s="293"/>
      <c r="G64" s="293"/>
      <c r="H64" s="293"/>
      <c r="I64" s="293"/>
      <c r="J64" s="294">
        <v>17396.75</v>
      </c>
      <c r="K64" s="293"/>
      <c r="L64" s="293"/>
    </row>
    <row r="77" spans="1:10" ht="12.75">
      <c r="A77" s="743" t="s">
        <v>563</v>
      </c>
      <c r="B77" s="743"/>
      <c r="C77" s="743"/>
      <c r="D77" s="743"/>
      <c r="E77" s="743"/>
      <c r="F77" s="743"/>
      <c r="G77" s="743"/>
      <c r="H77" s="743"/>
      <c r="I77" s="743"/>
      <c r="J77" s="743"/>
    </row>
    <row r="79" spans="1:11" ht="15">
      <c r="A79" s="740" t="s">
        <v>543</v>
      </c>
      <c r="B79" s="741"/>
      <c r="C79" s="740">
        <v>10351</v>
      </c>
      <c r="D79" s="741"/>
      <c r="E79" s="415" t="s">
        <v>544</v>
      </c>
      <c r="F79" s="740" t="s">
        <v>419</v>
      </c>
      <c r="G79" s="741"/>
      <c r="H79" s="742" t="s">
        <v>545</v>
      </c>
      <c r="I79" s="741"/>
      <c r="J79" s="307">
        <v>1000</v>
      </c>
      <c r="K79" s="307">
        <v>0</v>
      </c>
    </row>
    <row r="80" ht="12.75">
      <c r="K80" s="308">
        <f>SUM(J79)</f>
        <v>1000</v>
      </c>
    </row>
    <row r="82" spans="1:10" ht="15">
      <c r="A82" s="740" t="s">
        <v>546</v>
      </c>
      <c r="B82" s="741"/>
      <c r="C82" s="740">
        <v>10352</v>
      </c>
      <c r="D82" s="741"/>
      <c r="E82" s="415" t="s">
        <v>547</v>
      </c>
      <c r="F82" s="740" t="s">
        <v>340</v>
      </c>
      <c r="G82" s="741"/>
      <c r="H82" s="742" t="s">
        <v>341</v>
      </c>
      <c r="I82" s="741"/>
      <c r="J82" s="307">
        <v>1585.9</v>
      </c>
    </row>
    <row r="83" ht="12.75">
      <c r="K83" s="308">
        <f>SUM(J82)</f>
        <v>1585.9</v>
      </c>
    </row>
    <row r="85" spans="1:10" ht="15">
      <c r="A85" s="740" t="s">
        <v>548</v>
      </c>
      <c r="B85" s="741"/>
      <c r="C85" s="740">
        <v>10341</v>
      </c>
      <c r="D85" s="741"/>
      <c r="E85" s="415" t="s">
        <v>549</v>
      </c>
      <c r="F85" s="740" t="s">
        <v>239</v>
      </c>
      <c r="G85" s="741"/>
      <c r="H85" s="742" t="s">
        <v>240</v>
      </c>
      <c r="I85" s="741"/>
      <c r="J85" s="307">
        <v>29570</v>
      </c>
    </row>
    <row r="86" spans="1:10" ht="15">
      <c r="A86" s="740" t="s">
        <v>550</v>
      </c>
      <c r="B86" s="741"/>
      <c r="C86" s="740">
        <v>10342</v>
      </c>
      <c r="D86" s="741"/>
      <c r="E86" s="415" t="s">
        <v>551</v>
      </c>
      <c r="F86" s="740" t="s">
        <v>239</v>
      </c>
      <c r="G86" s="741"/>
      <c r="H86" s="742" t="s">
        <v>240</v>
      </c>
      <c r="I86" s="741"/>
      <c r="J86" s="307">
        <v>9100</v>
      </c>
    </row>
    <row r="87" spans="1:10" ht="15">
      <c r="A87" s="740" t="s">
        <v>550</v>
      </c>
      <c r="B87" s="741"/>
      <c r="C87" s="740">
        <v>10343</v>
      </c>
      <c r="D87" s="741"/>
      <c r="E87" s="415" t="s">
        <v>552</v>
      </c>
      <c r="F87" s="740" t="s">
        <v>239</v>
      </c>
      <c r="G87" s="741"/>
      <c r="H87" s="742" t="s">
        <v>240</v>
      </c>
      <c r="I87" s="741"/>
      <c r="J87" s="307">
        <v>5600</v>
      </c>
    </row>
    <row r="88" spans="1:10" ht="15">
      <c r="A88" s="740" t="s">
        <v>550</v>
      </c>
      <c r="B88" s="741"/>
      <c r="C88" s="740">
        <v>10344</v>
      </c>
      <c r="D88" s="741"/>
      <c r="E88" s="415" t="s">
        <v>553</v>
      </c>
      <c r="F88" s="740" t="s">
        <v>239</v>
      </c>
      <c r="G88" s="741"/>
      <c r="H88" s="742" t="s">
        <v>240</v>
      </c>
      <c r="I88" s="741"/>
      <c r="J88" s="307">
        <v>3500</v>
      </c>
    </row>
    <row r="89" spans="1:11" ht="15">
      <c r="A89" s="740" t="s">
        <v>550</v>
      </c>
      <c r="B89" s="741"/>
      <c r="C89" s="740">
        <v>10345</v>
      </c>
      <c r="D89" s="741"/>
      <c r="E89" s="415" t="s">
        <v>554</v>
      </c>
      <c r="F89" s="740" t="s">
        <v>239</v>
      </c>
      <c r="G89" s="741"/>
      <c r="H89" s="742" t="s">
        <v>240</v>
      </c>
      <c r="I89" s="741"/>
      <c r="J89" s="307">
        <v>3500</v>
      </c>
      <c r="K89" s="308">
        <f>SUM(J85:J89)</f>
        <v>51270</v>
      </c>
    </row>
    <row r="92" spans="1:12" ht="15">
      <c r="A92" s="740" t="s">
        <v>555</v>
      </c>
      <c r="B92" s="741"/>
      <c r="C92" s="740">
        <v>10348</v>
      </c>
      <c r="D92" s="741"/>
      <c r="E92" s="415" t="s">
        <v>556</v>
      </c>
      <c r="F92" s="740" t="s">
        <v>557</v>
      </c>
      <c r="G92" s="741"/>
      <c r="H92" s="742" t="s">
        <v>558</v>
      </c>
      <c r="I92" s="741"/>
      <c r="J92" s="307">
        <v>1907.74</v>
      </c>
      <c r="K92" s="307">
        <v>0</v>
      </c>
      <c r="L92" s="415" t="s">
        <v>241</v>
      </c>
    </row>
    <row r="93" spans="1:12" ht="15">
      <c r="A93" s="740" t="s">
        <v>555</v>
      </c>
      <c r="B93" s="741"/>
      <c r="C93" s="740">
        <v>10349</v>
      </c>
      <c r="D93" s="741"/>
      <c r="E93" s="415" t="s">
        <v>559</v>
      </c>
      <c r="F93" s="740" t="s">
        <v>557</v>
      </c>
      <c r="G93" s="741"/>
      <c r="H93" s="742" t="s">
        <v>558</v>
      </c>
      <c r="I93" s="741"/>
      <c r="J93" s="307">
        <v>1907.74</v>
      </c>
      <c r="K93" s="307">
        <v>0</v>
      </c>
      <c r="L93" s="415" t="s">
        <v>241</v>
      </c>
    </row>
    <row r="94" spans="1:12" ht="15">
      <c r="A94" s="740" t="s">
        <v>543</v>
      </c>
      <c r="B94" s="741"/>
      <c r="C94" s="740">
        <v>10350</v>
      </c>
      <c r="D94" s="741"/>
      <c r="E94" s="415" t="s">
        <v>560</v>
      </c>
      <c r="F94" s="740" t="s">
        <v>561</v>
      </c>
      <c r="G94" s="741"/>
      <c r="H94" s="742" t="s">
        <v>562</v>
      </c>
      <c r="I94" s="741"/>
      <c r="J94" s="307">
        <v>61.55</v>
      </c>
      <c r="K94" s="307">
        <f>SUM(J92:J94)</f>
        <v>3877.03</v>
      </c>
      <c r="L94" s="415" t="s">
        <v>241</v>
      </c>
    </row>
    <row r="97" spans="1:12" ht="15">
      <c r="A97" s="740" t="s">
        <v>543</v>
      </c>
      <c r="B97" s="741"/>
      <c r="C97" s="740">
        <v>10350</v>
      </c>
      <c r="D97" s="741"/>
      <c r="E97" s="415" t="s">
        <v>560</v>
      </c>
      <c r="F97" s="740" t="s">
        <v>492</v>
      </c>
      <c r="G97" s="741"/>
      <c r="H97" s="742" t="s">
        <v>564</v>
      </c>
      <c r="I97" s="741"/>
      <c r="J97" s="307">
        <v>4231</v>
      </c>
      <c r="K97" s="307">
        <v>0</v>
      </c>
      <c r="L97" s="415" t="s">
        <v>241</v>
      </c>
    </row>
    <row r="98" spans="1:12" ht="15">
      <c r="A98" s="740" t="s">
        <v>543</v>
      </c>
      <c r="B98" s="741"/>
      <c r="C98" s="740">
        <v>10351</v>
      </c>
      <c r="D98" s="741"/>
      <c r="E98" s="415" t="s">
        <v>544</v>
      </c>
      <c r="F98" s="740" t="s">
        <v>492</v>
      </c>
      <c r="G98" s="741"/>
      <c r="H98" s="742" t="s">
        <v>564</v>
      </c>
      <c r="I98" s="741"/>
      <c r="J98" s="307">
        <v>750</v>
      </c>
      <c r="K98" s="307">
        <f>SUM(J97:J98)</f>
        <v>4981</v>
      </c>
      <c r="L98" s="415" t="s">
        <v>241</v>
      </c>
    </row>
    <row r="101" spans="1:12" ht="15">
      <c r="A101" s="740" t="s">
        <v>550</v>
      </c>
      <c r="B101" s="741"/>
      <c r="C101" s="740">
        <v>10346</v>
      </c>
      <c r="D101" s="741"/>
      <c r="E101" s="415" t="s">
        <v>565</v>
      </c>
      <c r="F101" s="740" t="s">
        <v>312</v>
      </c>
      <c r="G101" s="741"/>
      <c r="H101" s="742" t="s">
        <v>313</v>
      </c>
      <c r="I101" s="741"/>
      <c r="J101" s="307">
        <v>2922</v>
      </c>
      <c r="K101" s="307">
        <v>0</v>
      </c>
      <c r="L101" s="415" t="s">
        <v>241</v>
      </c>
    </row>
    <row r="102" spans="1:12" ht="15">
      <c r="A102" s="740" t="s">
        <v>550</v>
      </c>
      <c r="B102" s="741"/>
      <c r="C102" s="740">
        <v>10347</v>
      </c>
      <c r="D102" s="741"/>
      <c r="E102" s="415" t="s">
        <v>566</v>
      </c>
      <c r="F102" s="740" t="s">
        <v>312</v>
      </c>
      <c r="G102" s="741"/>
      <c r="H102" s="742" t="s">
        <v>313</v>
      </c>
      <c r="I102" s="741"/>
      <c r="J102" s="307">
        <v>2922</v>
      </c>
      <c r="K102" s="307">
        <v>0</v>
      </c>
      <c r="L102" s="415" t="s">
        <v>241</v>
      </c>
    </row>
    <row r="103" spans="1:12" ht="15">
      <c r="A103" s="740" t="s">
        <v>546</v>
      </c>
      <c r="B103" s="741"/>
      <c r="C103" s="740">
        <v>10352</v>
      </c>
      <c r="D103" s="741"/>
      <c r="E103" s="415" t="s">
        <v>547</v>
      </c>
      <c r="F103" s="740" t="s">
        <v>312</v>
      </c>
      <c r="G103" s="741"/>
      <c r="H103" s="742" t="s">
        <v>313</v>
      </c>
      <c r="I103" s="741"/>
      <c r="J103" s="307">
        <v>0</v>
      </c>
      <c r="K103" s="307">
        <v>61.25</v>
      </c>
      <c r="L103" s="415" t="s">
        <v>241</v>
      </c>
    </row>
    <row r="104" ht="12.75">
      <c r="K104" s="308">
        <f>SUM(J101:J103)</f>
        <v>5844</v>
      </c>
    </row>
    <row r="106" spans="1:12" ht="15">
      <c r="A106" s="740" t="s">
        <v>543</v>
      </c>
      <c r="B106" s="741"/>
      <c r="C106" s="740">
        <v>10351</v>
      </c>
      <c r="D106" s="741"/>
      <c r="E106" s="415" t="s">
        <v>544</v>
      </c>
      <c r="F106" s="740" t="s">
        <v>263</v>
      </c>
      <c r="G106" s="741"/>
      <c r="H106" s="742" t="s">
        <v>264</v>
      </c>
      <c r="I106" s="741"/>
      <c r="J106" s="307">
        <v>13429.35</v>
      </c>
      <c r="K106" s="307">
        <v>0</v>
      </c>
      <c r="L106" s="415" t="s">
        <v>241</v>
      </c>
    </row>
    <row r="107" ht="12.75">
      <c r="K107" s="308">
        <f>SUM(J106)</f>
        <v>13429.35</v>
      </c>
    </row>
    <row r="109" spans="1:12" ht="15">
      <c r="A109" s="740" t="s">
        <v>543</v>
      </c>
      <c r="B109" s="741"/>
      <c r="C109" s="740">
        <v>10350</v>
      </c>
      <c r="D109" s="741"/>
      <c r="E109" s="415" t="s">
        <v>560</v>
      </c>
      <c r="F109" s="740" t="s">
        <v>267</v>
      </c>
      <c r="G109" s="741"/>
      <c r="H109" s="742" t="s">
        <v>268</v>
      </c>
      <c r="I109" s="741"/>
      <c r="J109" s="307">
        <v>1250.8</v>
      </c>
      <c r="K109" s="307">
        <v>0</v>
      </c>
      <c r="L109" s="415" t="s">
        <v>241</v>
      </c>
    </row>
    <row r="110" spans="1:12" ht="15">
      <c r="A110" s="740" t="s">
        <v>543</v>
      </c>
      <c r="B110" s="741"/>
      <c r="C110" s="740">
        <v>10351</v>
      </c>
      <c r="D110" s="741"/>
      <c r="E110" s="415" t="s">
        <v>544</v>
      </c>
      <c r="F110" s="740" t="s">
        <v>267</v>
      </c>
      <c r="G110" s="741"/>
      <c r="H110" s="742" t="s">
        <v>268</v>
      </c>
      <c r="I110" s="741"/>
      <c r="J110" s="307">
        <v>203.95</v>
      </c>
      <c r="K110" s="307">
        <f>SUM(J109:J110)</f>
        <v>1454.75</v>
      </c>
      <c r="L110" s="415" t="s">
        <v>241</v>
      </c>
    </row>
    <row r="113" spans="1:12" ht="15">
      <c r="A113" s="740" t="s">
        <v>543</v>
      </c>
      <c r="B113" s="741"/>
      <c r="C113" s="740">
        <v>10351</v>
      </c>
      <c r="D113" s="741"/>
      <c r="E113" s="415" t="s">
        <v>544</v>
      </c>
      <c r="F113" s="740" t="s">
        <v>269</v>
      </c>
      <c r="G113" s="741"/>
      <c r="H113" s="742" t="s">
        <v>270</v>
      </c>
      <c r="I113" s="741"/>
      <c r="J113" s="307">
        <v>342.24</v>
      </c>
      <c r="K113" s="307">
        <f>SUM(J113)</f>
        <v>342.24</v>
      </c>
      <c r="L113" s="415" t="s">
        <v>241</v>
      </c>
    </row>
    <row r="116" spans="1:12" ht="15">
      <c r="A116" s="740" t="s">
        <v>543</v>
      </c>
      <c r="B116" s="741"/>
      <c r="C116" s="740">
        <v>10350</v>
      </c>
      <c r="D116" s="741"/>
      <c r="E116" s="415" t="s">
        <v>560</v>
      </c>
      <c r="F116" s="740" t="s">
        <v>567</v>
      </c>
      <c r="G116" s="741"/>
      <c r="H116" s="742" t="s">
        <v>568</v>
      </c>
      <c r="I116" s="741"/>
      <c r="J116" s="307">
        <v>390</v>
      </c>
      <c r="K116" s="307">
        <v>0</v>
      </c>
      <c r="L116" s="415" t="s">
        <v>241</v>
      </c>
    </row>
    <row r="117" spans="1:12" ht="15">
      <c r="A117" s="740" t="s">
        <v>543</v>
      </c>
      <c r="B117" s="741"/>
      <c r="C117" s="740">
        <v>10350</v>
      </c>
      <c r="D117" s="741"/>
      <c r="E117" s="415" t="s">
        <v>560</v>
      </c>
      <c r="F117" s="740" t="s">
        <v>272</v>
      </c>
      <c r="G117" s="741"/>
      <c r="H117" s="742" t="s">
        <v>273</v>
      </c>
      <c r="I117" s="741"/>
      <c r="J117" s="307">
        <v>2800</v>
      </c>
      <c r="K117" s="307">
        <v>0</v>
      </c>
      <c r="L117" s="415" t="s">
        <v>241</v>
      </c>
    </row>
    <row r="118" spans="1:12" ht="15">
      <c r="A118" s="740" t="s">
        <v>543</v>
      </c>
      <c r="B118" s="741"/>
      <c r="C118" s="740">
        <v>10351</v>
      </c>
      <c r="D118" s="741"/>
      <c r="E118" s="415" t="s">
        <v>544</v>
      </c>
      <c r="F118" s="740" t="s">
        <v>272</v>
      </c>
      <c r="G118" s="741"/>
      <c r="H118" s="742" t="s">
        <v>273</v>
      </c>
      <c r="I118" s="741"/>
      <c r="J118" s="307">
        <v>1166</v>
      </c>
      <c r="K118" s="307">
        <f>SUM(J116:J118)</f>
        <v>4356</v>
      </c>
      <c r="L118" s="415" t="s">
        <v>241</v>
      </c>
    </row>
    <row r="122" spans="1:12" ht="15">
      <c r="A122" s="740" t="s">
        <v>543</v>
      </c>
      <c r="B122" s="741"/>
      <c r="C122" s="740">
        <v>10350</v>
      </c>
      <c r="D122" s="741"/>
      <c r="E122" s="415" t="s">
        <v>560</v>
      </c>
      <c r="F122" s="740" t="s">
        <v>274</v>
      </c>
      <c r="G122" s="741"/>
      <c r="H122" s="742" t="s">
        <v>275</v>
      </c>
      <c r="I122" s="741"/>
      <c r="J122" s="307">
        <v>1170</v>
      </c>
      <c r="K122" s="307">
        <v>0</v>
      </c>
      <c r="L122" s="415" t="s">
        <v>241</v>
      </c>
    </row>
    <row r="123" spans="1:12" ht="15">
      <c r="A123" s="740" t="s">
        <v>543</v>
      </c>
      <c r="B123" s="741"/>
      <c r="C123" s="740">
        <v>10350</v>
      </c>
      <c r="D123" s="741"/>
      <c r="E123" s="415" t="s">
        <v>560</v>
      </c>
      <c r="F123" s="740" t="s">
        <v>569</v>
      </c>
      <c r="G123" s="741"/>
      <c r="H123" s="742" t="s">
        <v>570</v>
      </c>
      <c r="I123" s="741"/>
      <c r="J123" s="307">
        <v>44.39</v>
      </c>
      <c r="K123" s="307">
        <f>SUM(J122:J123)</f>
        <v>1214.39</v>
      </c>
      <c r="L123" s="415" t="s">
        <v>241</v>
      </c>
    </row>
    <row r="126" spans="1:12" ht="15">
      <c r="A126" s="740" t="s">
        <v>543</v>
      </c>
      <c r="B126" s="741"/>
      <c r="C126" s="740">
        <v>10350</v>
      </c>
      <c r="D126" s="741"/>
      <c r="E126" s="415" t="s">
        <v>560</v>
      </c>
      <c r="F126" s="740" t="s">
        <v>384</v>
      </c>
      <c r="G126" s="741"/>
      <c r="H126" s="742" t="s">
        <v>385</v>
      </c>
      <c r="I126" s="741"/>
      <c r="J126" s="307">
        <v>3391.4</v>
      </c>
      <c r="K126" s="307">
        <v>0</v>
      </c>
      <c r="L126" s="415" t="s">
        <v>241</v>
      </c>
    </row>
    <row r="127" spans="1:12" ht="15">
      <c r="A127" s="740" t="s">
        <v>543</v>
      </c>
      <c r="B127" s="741"/>
      <c r="C127" s="740">
        <v>10351</v>
      </c>
      <c r="D127" s="741"/>
      <c r="E127" s="415" t="s">
        <v>544</v>
      </c>
      <c r="F127" s="740" t="s">
        <v>571</v>
      </c>
      <c r="G127" s="741"/>
      <c r="H127" s="742" t="s">
        <v>572</v>
      </c>
      <c r="I127" s="741"/>
      <c r="J127" s="307">
        <v>500</v>
      </c>
      <c r="K127" s="307">
        <v>0</v>
      </c>
      <c r="L127" s="415" t="s">
        <v>241</v>
      </c>
    </row>
    <row r="128" spans="1:12" ht="15">
      <c r="A128" s="740" t="s">
        <v>543</v>
      </c>
      <c r="B128" s="741"/>
      <c r="C128" s="740">
        <v>10350</v>
      </c>
      <c r="D128" s="741"/>
      <c r="E128" s="415" t="s">
        <v>560</v>
      </c>
      <c r="F128" s="740" t="s">
        <v>573</v>
      </c>
      <c r="G128" s="741"/>
      <c r="H128" s="742" t="s">
        <v>574</v>
      </c>
      <c r="I128" s="741"/>
      <c r="J128" s="307">
        <v>435.01</v>
      </c>
      <c r="K128" s="307">
        <f>SUM(J126:J128)</f>
        <v>4326.41</v>
      </c>
      <c r="L128" s="415" t="s">
        <v>241</v>
      </c>
    </row>
    <row r="132" spans="1:12" ht="15">
      <c r="A132" s="740" t="s">
        <v>543</v>
      </c>
      <c r="B132" s="741"/>
      <c r="C132" s="740">
        <v>10350</v>
      </c>
      <c r="D132" s="741"/>
      <c r="E132" s="415" t="s">
        <v>560</v>
      </c>
      <c r="F132" s="740" t="s">
        <v>280</v>
      </c>
      <c r="G132" s="741"/>
      <c r="H132" s="742" t="s">
        <v>281</v>
      </c>
      <c r="I132" s="741"/>
      <c r="J132" s="307">
        <v>4654.22</v>
      </c>
      <c r="K132" s="307">
        <v>0</v>
      </c>
      <c r="L132" s="415" t="s">
        <v>241</v>
      </c>
    </row>
    <row r="133" spans="1:12" ht="15">
      <c r="A133" s="740" t="s">
        <v>543</v>
      </c>
      <c r="B133" s="741"/>
      <c r="C133" s="740">
        <v>10350</v>
      </c>
      <c r="D133" s="741"/>
      <c r="E133" s="415" t="s">
        <v>560</v>
      </c>
      <c r="F133" s="740" t="s">
        <v>284</v>
      </c>
      <c r="G133" s="741"/>
      <c r="H133" s="742" t="s">
        <v>285</v>
      </c>
      <c r="I133" s="741"/>
      <c r="J133" s="307">
        <v>182.3</v>
      </c>
      <c r="K133" s="307">
        <v>0</v>
      </c>
      <c r="L133" s="415" t="s">
        <v>241</v>
      </c>
    </row>
    <row r="134" spans="1:12" ht="15">
      <c r="A134" s="740" t="s">
        <v>543</v>
      </c>
      <c r="B134" s="741"/>
      <c r="C134" s="740">
        <v>10351</v>
      </c>
      <c r="D134" s="741"/>
      <c r="E134" s="415" t="s">
        <v>544</v>
      </c>
      <c r="F134" s="740" t="s">
        <v>278</v>
      </c>
      <c r="G134" s="741"/>
      <c r="H134" s="742" t="s">
        <v>279</v>
      </c>
      <c r="I134" s="741"/>
      <c r="J134" s="307">
        <v>663.9</v>
      </c>
      <c r="K134" s="307">
        <f>SUM(J132:J134)</f>
        <v>5500.42</v>
      </c>
      <c r="L134" s="415" t="s">
        <v>241</v>
      </c>
    </row>
  </sheetData>
  <sheetProtection/>
  <mergeCells count="245">
    <mergeCell ref="A11:B11"/>
    <mergeCell ref="C11:D11"/>
    <mergeCell ref="F11:G11"/>
    <mergeCell ref="H11:I11"/>
    <mergeCell ref="A12:B12"/>
    <mergeCell ref="C12:D12"/>
    <mergeCell ref="F12:G12"/>
    <mergeCell ref="H12:I12"/>
    <mergeCell ref="A13:B13"/>
    <mergeCell ref="C13:D13"/>
    <mergeCell ref="F13:G13"/>
    <mergeCell ref="H13:I13"/>
    <mergeCell ref="A14:B14"/>
    <mergeCell ref="C14:D14"/>
    <mergeCell ref="F14:G14"/>
    <mergeCell ref="H14:I14"/>
    <mergeCell ref="A15:B15"/>
    <mergeCell ref="C15:D15"/>
    <mergeCell ref="F15:G15"/>
    <mergeCell ref="H15:I15"/>
    <mergeCell ref="A16:B16"/>
    <mergeCell ref="C16:D16"/>
    <mergeCell ref="F16:G16"/>
    <mergeCell ref="H16:I16"/>
    <mergeCell ref="A17:B17"/>
    <mergeCell ref="C17:D17"/>
    <mergeCell ref="F17:G17"/>
    <mergeCell ref="H17:I17"/>
    <mergeCell ref="A18:B18"/>
    <mergeCell ref="C18:D18"/>
    <mergeCell ref="F18:G18"/>
    <mergeCell ref="H18:I18"/>
    <mergeCell ref="A19:B19"/>
    <mergeCell ref="C19:D19"/>
    <mergeCell ref="F19:G19"/>
    <mergeCell ref="H19:I19"/>
    <mergeCell ref="A20:B20"/>
    <mergeCell ref="C20:D20"/>
    <mergeCell ref="F20:G20"/>
    <mergeCell ref="H20:I20"/>
    <mergeCell ref="A21:B21"/>
    <mergeCell ref="C21:D21"/>
    <mergeCell ref="F21:G21"/>
    <mergeCell ref="H21:I21"/>
    <mergeCell ref="A22:B22"/>
    <mergeCell ref="C22:D22"/>
    <mergeCell ref="F22:G22"/>
    <mergeCell ref="H22:I22"/>
    <mergeCell ref="A23:B23"/>
    <mergeCell ref="C23:D23"/>
    <mergeCell ref="F23:G23"/>
    <mergeCell ref="H23:I23"/>
    <mergeCell ref="A24:B24"/>
    <mergeCell ref="C24:D24"/>
    <mergeCell ref="F24:G24"/>
    <mergeCell ref="H24:I24"/>
    <mergeCell ref="A28:B28"/>
    <mergeCell ref="C28:D28"/>
    <mergeCell ref="F28:G28"/>
    <mergeCell ref="H28:I28"/>
    <mergeCell ref="A32:B32"/>
    <mergeCell ref="C32:D32"/>
    <mergeCell ref="F32:G32"/>
    <mergeCell ref="H32:I32"/>
    <mergeCell ref="A33:B33"/>
    <mergeCell ref="C33:D33"/>
    <mergeCell ref="F33:G33"/>
    <mergeCell ref="H33:I33"/>
    <mergeCell ref="A34:B34"/>
    <mergeCell ref="C34:D34"/>
    <mergeCell ref="F34:G34"/>
    <mergeCell ref="H34:I34"/>
    <mergeCell ref="A37:B37"/>
    <mergeCell ref="C37:D37"/>
    <mergeCell ref="F37:G37"/>
    <mergeCell ref="H37:I37"/>
    <mergeCell ref="A41:B41"/>
    <mergeCell ref="C41:D41"/>
    <mergeCell ref="F41:G41"/>
    <mergeCell ref="H41:I41"/>
    <mergeCell ref="A44:B44"/>
    <mergeCell ref="C44:D44"/>
    <mergeCell ref="F44:G44"/>
    <mergeCell ref="H44:I44"/>
    <mergeCell ref="A48:B48"/>
    <mergeCell ref="C48:D48"/>
    <mergeCell ref="F48:G48"/>
    <mergeCell ref="H48:I48"/>
    <mergeCell ref="A52:B52"/>
    <mergeCell ref="C52:D52"/>
    <mergeCell ref="F52:G52"/>
    <mergeCell ref="H52:I52"/>
    <mergeCell ref="A56:B56"/>
    <mergeCell ref="C56:D56"/>
    <mergeCell ref="F56:G56"/>
    <mergeCell ref="H56:I56"/>
    <mergeCell ref="A57:B57"/>
    <mergeCell ref="C57:D57"/>
    <mergeCell ref="F57:G57"/>
    <mergeCell ref="H57:I57"/>
    <mergeCell ref="A58:B58"/>
    <mergeCell ref="C58:D58"/>
    <mergeCell ref="F58:G58"/>
    <mergeCell ref="H58:I58"/>
    <mergeCell ref="F62:G62"/>
    <mergeCell ref="H62:I62"/>
    <mergeCell ref="A59:B59"/>
    <mergeCell ref="C59:D59"/>
    <mergeCell ref="F59:G59"/>
    <mergeCell ref="H59:I59"/>
    <mergeCell ref="A60:B60"/>
    <mergeCell ref="C60:D60"/>
    <mergeCell ref="F60:G60"/>
    <mergeCell ref="H60:I60"/>
    <mergeCell ref="A63:B63"/>
    <mergeCell ref="C63:D63"/>
    <mergeCell ref="F63:G63"/>
    <mergeCell ref="H63:I63"/>
    <mergeCell ref="A61:B61"/>
    <mergeCell ref="C61:D61"/>
    <mergeCell ref="F61:G61"/>
    <mergeCell ref="H61:I61"/>
    <mergeCell ref="A62:B62"/>
    <mergeCell ref="C62:D62"/>
    <mergeCell ref="A79:B79"/>
    <mergeCell ref="C79:D79"/>
    <mergeCell ref="F79:G79"/>
    <mergeCell ref="H79:I79"/>
    <mergeCell ref="A82:B82"/>
    <mergeCell ref="C82:D82"/>
    <mergeCell ref="F82:G82"/>
    <mergeCell ref="H82:I82"/>
    <mergeCell ref="A85:B85"/>
    <mergeCell ref="C85:D85"/>
    <mergeCell ref="F85:G85"/>
    <mergeCell ref="H85:I85"/>
    <mergeCell ref="A86:B86"/>
    <mergeCell ref="C86:D86"/>
    <mergeCell ref="F86:G86"/>
    <mergeCell ref="H86:I86"/>
    <mergeCell ref="A87:B87"/>
    <mergeCell ref="C87:D87"/>
    <mergeCell ref="F87:G87"/>
    <mergeCell ref="H87:I87"/>
    <mergeCell ref="A88:B88"/>
    <mergeCell ref="C88:D88"/>
    <mergeCell ref="F88:G88"/>
    <mergeCell ref="H88:I88"/>
    <mergeCell ref="A89:B89"/>
    <mergeCell ref="C89:D89"/>
    <mergeCell ref="F89:G89"/>
    <mergeCell ref="H89:I89"/>
    <mergeCell ref="A92:B92"/>
    <mergeCell ref="C92:D92"/>
    <mergeCell ref="F92:G92"/>
    <mergeCell ref="H92:I92"/>
    <mergeCell ref="C93:D93"/>
    <mergeCell ref="F93:G93"/>
    <mergeCell ref="H93:I93"/>
    <mergeCell ref="A94:B94"/>
    <mergeCell ref="C94:D94"/>
    <mergeCell ref="F94:G94"/>
    <mergeCell ref="H94:I94"/>
    <mergeCell ref="A77:J77"/>
    <mergeCell ref="A97:B97"/>
    <mergeCell ref="C97:D97"/>
    <mergeCell ref="F97:G97"/>
    <mergeCell ref="H97:I97"/>
    <mergeCell ref="A98:B98"/>
    <mergeCell ref="C98:D98"/>
    <mergeCell ref="F98:G98"/>
    <mergeCell ref="H98:I98"/>
    <mergeCell ref="A93:B93"/>
    <mergeCell ref="A101:B101"/>
    <mergeCell ref="C101:D101"/>
    <mergeCell ref="F101:G101"/>
    <mergeCell ref="H101:I101"/>
    <mergeCell ref="A102:B102"/>
    <mergeCell ref="C102:D102"/>
    <mergeCell ref="F102:G102"/>
    <mergeCell ref="H102:I102"/>
    <mergeCell ref="A103:B103"/>
    <mergeCell ref="C103:D103"/>
    <mergeCell ref="F103:G103"/>
    <mergeCell ref="H103:I103"/>
    <mergeCell ref="A106:B106"/>
    <mergeCell ref="C106:D106"/>
    <mergeCell ref="F106:G106"/>
    <mergeCell ref="H106:I106"/>
    <mergeCell ref="A109:B109"/>
    <mergeCell ref="C109:D109"/>
    <mergeCell ref="F109:G109"/>
    <mergeCell ref="H109:I109"/>
    <mergeCell ref="A110:B110"/>
    <mergeCell ref="C110:D110"/>
    <mergeCell ref="F110:G110"/>
    <mergeCell ref="H110:I110"/>
    <mergeCell ref="A113:B113"/>
    <mergeCell ref="C113:D113"/>
    <mergeCell ref="F113:G113"/>
    <mergeCell ref="H113:I113"/>
    <mergeCell ref="A116:B116"/>
    <mergeCell ref="C116:D116"/>
    <mergeCell ref="F116:G116"/>
    <mergeCell ref="H116:I116"/>
    <mergeCell ref="A117:B117"/>
    <mergeCell ref="C117:D117"/>
    <mergeCell ref="F117:G117"/>
    <mergeCell ref="H117:I117"/>
    <mergeCell ref="A118:B118"/>
    <mergeCell ref="C118:D118"/>
    <mergeCell ref="F118:G118"/>
    <mergeCell ref="H118:I118"/>
    <mergeCell ref="A122:B122"/>
    <mergeCell ref="C122:D122"/>
    <mergeCell ref="F122:G122"/>
    <mergeCell ref="H122:I122"/>
    <mergeCell ref="A123:B123"/>
    <mergeCell ref="C123:D123"/>
    <mergeCell ref="F123:G123"/>
    <mergeCell ref="H123:I123"/>
    <mergeCell ref="A126:B126"/>
    <mergeCell ref="C126:D126"/>
    <mergeCell ref="F126:G126"/>
    <mergeCell ref="H126:I126"/>
    <mergeCell ref="A127:B127"/>
    <mergeCell ref="C127:D127"/>
    <mergeCell ref="F127:G127"/>
    <mergeCell ref="H127:I127"/>
    <mergeCell ref="A128:B128"/>
    <mergeCell ref="C128:D128"/>
    <mergeCell ref="F128:G128"/>
    <mergeCell ref="H128:I128"/>
    <mergeCell ref="A132:B132"/>
    <mergeCell ref="C132:D132"/>
    <mergeCell ref="F132:G132"/>
    <mergeCell ref="H132:I132"/>
    <mergeCell ref="A133:B133"/>
    <mergeCell ref="C133:D133"/>
    <mergeCell ref="F133:G133"/>
    <mergeCell ref="H133:I133"/>
    <mergeCell ref="A134:B134"/>
    <mergeCell ref="C134:D134"/>
    <mergeCell ref="F134:G134"/>
    <mergeCell ref="H134:I134"/>
  </mergeCells>
  <printOptions/>
  <pageMargins left="0.18" right="0.7086614173228347" top="0.7480314960629921" bottom="0.7480314960629921" header="0.31496062992125984" footer="0.31496062992125984"/>
  <pageSetup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9:J130"/>
  <sheetViews>
    <sheetView zoomScalePageLayoutView="0" workbookViewId="0" topLeftCell="A40">
      <selection activeCell="I33" sqref="I33"/>
    </sheetView>
  </sheetViews>
  <sheetFormatPr defaultColWidth="11.421875" defaultRowHeight="12.75"/>
  <cols>
    <col min="2" max="2" width="28.57421875" style="0" customWidth="1"/>
    <col min="3" max="3" width="14.57421875" style="0" customWidth="1"/>
    <col min="4" max="4" width="17.57421875" style="0" customWidth="1"/>
    <col min="5" max="6" width="15.57421875" style="0" customWidth="1"/>
    <col min="7" max="7" width="16.57421875" style="0" customWidth="1"/>
    <col min="8" max="8" width="19.28125" style="0" customWidth="1"/>
    <col min="9" max="9" width="15.140625" style="0" customWidth="1"/>
    <col min="10" max="10" width="19.140625" style="0" customWidth="1"/>
  </cols>
  <sheetData>
    <row r="49" spans="1:10" ht="31.5">
      <c r="A49" s="621" t="s">
        <v>705</v>
      </c>
      <c r="B49" s="621" t="s">
        <v>706</v>
      </c>
      <c r="C49" s="622" t="s">
        <v>707</v>
      </c>
      <c r="D49" s="622" t="s">
        <v>708</v>
      </c>
      <c r="E49" s="622" t="s">
        <v>709</v>
      </c>
      <c r="F49" s="622" t="s">
        <v>710</v>
      </c>
      <c r="G49" s="621" t="s">
        <v>711</v>
      </c>
      <c r="H49" s="621"/>
      <c r="I49" s="623"/>
      <c r="J49" s="623"/>
    </row>
    <row r="50" spans="1:10" ht="12.75">
      <c r="A50" s="600" t="s">
        <v>712</v>
      </c>
      <c r="B50" s="600" t="s">
        <v>713</v>
      </c>
      <c r="C50" s="601">
        <v>114996058.32</v>
      </c>
      <c r="D50" s="601">
        <v>114996058.32</v>
      </c>
      <c r="E50" s="601">
        <v>114585724.92</v>
      </c>
      <c r="F50" s="601">
        <v>114585724.92</v>
      </c>
      <c r="G50" s="601">
        <v>114585724.92</v>
      </c>
      <c r="H50" s="601"/>
      <c r="I50" s="113">
        <f>E50-G50</f>
        <v>0</v>
      </c>
      <c r="J50" s="55"/>
    </row>
    <row r="51" spans="1:10" ht="12.75">
      <c r="A51" s="600" t="s">
        <v>714</v>
      </c>
      <c r="B51" s="600" t="s">
        <v>715</v>
      </c>
      <c r="C51" s="601">
        <v>3611000</v>
      </c>
      <c r="D51" s="601">
        <v>3425000</v>
      </c>
      <c r="E51" s="601">
        <v>3313000</v>
      </c>
      <c r="F51" s="601">
        <v>3313000</v>
      </c>
      <c r="G51" s="601">
        <v>3313000</v>
      </c>
      <c r="H51" s="601"/>
      <c r="I51" s="113">
        <f aca="true" t="shared" si="0" ref="I51:I114">E51-G51</f>
        <v>0</v>
      </c>
      <c r="J51" s="55"/>
    </row>
    <row r="52" spans="1:10" ht="12.75">
      <c r="A52" s="600" t="s">
        <v>716</v>
      </c>
      <c r="B52" s="600" t="s">
        <v>717</v>
      </c>
      <c r="C52" s="601">
        <v>81499.89</v>
      </c>
      <c r="D52" s="601">
        <v>81499.89</v>
      </c>
      <c r="E52" s="601">
        <v>0</v>
      </c>
      <c r="F52" s="601">
        <v>0</v>
      </c>
      <c r="G52" s="601">
        <v>0</v>
      </c>
      <c r="H52" s="601"/>
      <c r="I52" s="113">
        <f t="shared" si="0"/>
        <v>0</v>
      </c>
      <c r="J52" s="55"/>
    </row>
    <row r="53" spans="1:10" ht="12.75">
      <c r="A53" s="600" t="s">
        <v>718</v>
      </c>
      <c r="B53" s="600" t="s">
        <v>719</v>
      </c>
      <c r="C53" s="601">
        <v>4312200</v>
      </c>
      <c r="D53" s="601">
        <v>4312200</v>
      </c>
      <c r="E53" s="601">
        <v>3563000</v>
      </c>
      <c r="F53" s="601">
        <v>3563000</v>
      </c>
      <c r="G53" s="601">
        <v>3563000</v>
      </c>
      <c r="H53" s="601"/>
      <c r="I53" s="113">
        <f t="shared" si="0"/>
        <v>0</v>
      </c>
      <c r="J53" s="55"/>
    </row>
    <row r="54" spans="1:10" ht="12.75">
      <c r="A54" s="600" t="s">
        <v>720</v>
      </c>
      <c r="B54" s="600" t="s">
        <v>721</v>
      </c>
      <c r="C54" s="601">
        <v>600710.68</v>
      </c>
      <c r="D54" s="601">
        <v>600710.68</v>
      </c>
      <c r="E54" s="601">
        <v>384171.68</v>
      </c>
      <c r="F54" s="601">
        <v>384171.68</v>
      </c>
      <c r="G54" s="601">
        <v>384171.68</v>
      </c>
      <c r="H54" s="601"/>
      <c r="I54" s="113">
        <f t="shared" si="0"/>
        <v>0</v>
      </c>
      <c r="J54" s="55"/>
    </row>
    <row r="55" spans="1:10" ht="12.75">
      <c r="A55" s="600" t="s">
        <v>722</v>
      </c>
      <c r="B55" s="600" t="s">
        <v>723</v>
      </c>
      <c r="C55" s="601">
        <v>3619000</v>
      </c>
      <c r="D55" s="601">
        <v>3619000</v>
      </c>
      <c r="E55" s="601">
        <v>3619000</v>
      </c>
      <c r="F55" s="601">
        <v>3619000</v>
      </c>
      <c r="G55" s="601">
        <v>3619000</v>
      </c>
      <c r="H55" s="601"/>
      <c r="I55" s="113">
        <f t="shared" si="0"/>
        <v>0</v>
      </c>
      <c r="J55" s="55"/>
    </row>
    <row r="56" spans="1:10" ht="12.75">
      <c r="A56" s="600" t="s">
        <v>724</v>
      </c>
      <c r="B56" s="600" t="s">
        <v>725</v>
      </c>
      <c r="C56" s="601">
        <v>8067994.3</v>
      </c>
      <c r="D56" s="601">
        <v>8067994.3</v>
      </c>
      <c r="E56" s="601">
        <v>8030960.86</v>
      </c>
      <c r="F56" s="601">
        <v>8030960.86</v>
      </c>
      <c r="G56" s="601">
        <v>8030960.86</v>
      </c>
      <c r="H56" s="601"/>
      <c r="I56" s="113">
        <f t="shared" si="0"/>
        <v>0</v>
      </c>
      <c r="J56" s="55"/>
    </row>
    <row r="57" spans="1:10" ht="12.75">
      <c r="A57" s="600" t="s">
        <v>726</v>
      </c>
      <c r="B57" s="600" t="s">
        <v>727</v>
      </c>
      <c r="C57" s="601">
        <v>8381897.83</v>
      </c>
      <c r="D57" s="601">
        <v>8381897.83</v>
      </c>
      <c r="E57" s="601">
        <v>8344812.16</v>
      </c>
      <c r="F57" s="601">
        <v>8344812.16</v>
      </c>
      <c r="G57" s="601">
        <v>8344812.16</v>
      </c>
      <c r="H57" s="601"/>
      <c r="I57" s="113">
        <f t="shared" si="0"/>
        <v>0</v>
      </c>
      <c r="J57" s="55"/>
    </row>
    <row r="58" spans="1:10" ht="12.75">
      <c r="A58" s="600" t="s">
        <v>728</v>
      </c>
      <c r="B58" s="600" t="s">
        <v>729</v>
      </c>
      <c r="C58" s="601">
        <v>1100611.9</v>
      </c>
      <c r="D58" s="601">
        <v>1100611.9</v>
      </c>
      <c r="E58" s="601">
        <v>1095197.21</v>
      </c>
      <c r="F58" s="601">
        <v>1095197.21</v>
      </c>
      <c r="G58" s="601">
        <v>1095197.21</v>
      </c>
      <c r="H58" s="601"/>
      <c r="I58" s="113">
        <f t="shared" si="0"/>
        <v>0</v>
      </c>
      <c r="J58" s="55"/>
    </row>
    <row r="59" spans="1:10" ht="12.75">
      <c r="A59" s="600" t="s">
        <v>730</v>
      </c>
      <c r="B59" s="600" t="s">
        <v>731</v>
      </c>
      <c r="C59" s="601">
        <v>248444.35</v>
      </c>
      <c r="D59" s="601">
        <v>248444.35</v>
      </c>
      <c r="E59" s="602">
        <v>248444.35</v>
      </c>
      <c r="F59" s="601">
        <v>248444.35</v>
      </c>
      <c r="G59" s="602">
        <v>248444.35</v>
      </c>
      <c r="H59" s="602">
        <f>E59+E60+E61</f>
        <v>7506953.869999999</v>
      </c>
      <c r="I59" s="113">
        <f t="shared" si="0"/>
        <v>0</v>
      </c>
      <c r="J59" s="350" t="s">
        <v>677</v>
      </c>
    </row>
    <row r="60" spans="1:10" ht="12.75">
      <c r="A60" s="600" t="s">
        <v>732</v>
      </c>
      <c r="B60" s="600" t="s">
        <v>733</v>
      </c>
      <c r="C60" s="601">
        <v>5513254.17</v>
      </c>
      <c r="D60" s="601">
        <v>5513254.17</v>
      </c>
      <c r="E60" s="602">
        <v>5513254.17</v>
      </c>
      <c r="F60" s="601">
        <v>5513254.17</v>
      </c>
      <c r="G60" s="601">
        <v>5513254.17</v>
      </c>
      <c r="H60" s="601"/>
      <c r="I60" s="113">
        <f t="shared" si="0"/>
        <v>0</v>
      </c>
      <c r="J60" s="55"/>
    </row>
    <row r="61" spans="1:10" ht="12.75">
      <c r="A61" s="600" t="s">
        <v>734</v>
      </c>
      <c r="B61" s="600" t="s">
        <v>735</v>
      </c>
      <c r="C61" s="601">
        <v>1745255.35</v>
      </c>
      <c r="D61" s="601">
        <v>1745255.35</v>
      </c>
      <c r="E61" s="602">
        <v>1745255.35</v>
      </c>
      <c r="F61" s="601">
        <v>1745255.35</v>
      </c>
      <c r="G61" s="601">
        <v>1745255.35</v>
      </c>
      <c r="H61" s="601"/>
      <c r="I61" s="113">
        <f t="shared" si="0"/>
        <v>0</v>
      </c>
      <c r="J61" s="55"/>
    </row>
    <row r="62" spans="1:10" ht="12.75">
      <c r="A62" s="600" t="s">
        <v>736</v>
      </c>
      <c r="B62" s="600" t="s">
        <v>737</v>
      </c>
      <c r="C62" s="601">
        <v>3650931.14</v>
      </c>
      <c r="D62" s="601">
        <v>3650931.14</v>
      </c>
      <c r="E62" s="603">
        <v>3650931.14</v>
      </c>
      <c r="F62" s="603">
        <v>3650931.14</v>
      </c>
      <c r="G62" s="603">
        <v>3650931.14</v>
      </c>
      <c r="H62" s="603">
        <f>E62+E63+E64</f>
        <v>3739519.14</v>
      </c>
      <c r="I62" s="113">
        <f t="shared" si="0"/>
        <v>0</v>
      </c>
      <c r="J62" s="350" t="s">
        <v>892</v>
      </c>
    </row>
    <row r="63" spans="1:10" ht="12.75">
      <c r="A63" s="600" t="s">
        <v>738</v>
      </c>
      <c r="B63" s="600" t="s">
        <v>739</v>
      </c>
      <c r="C63" s="601">
        <v>84838</v>
      </c>
      <c r="D63" s="601">
        <v>84838</v>
      </c>
      <c r="E63" s="603">
        <v>84838</v>
      </c>
      <c r="F63" s="601">
        <v>84838</v>
      </c>
      <c r="G63" s="601">
        <v>73123</v>
      </c>
      <c r="H63" s="601"/>
      <c r="I63" s="113">
        <f t="shared" si="0"/>
        <v>11715</v>
      </c>
      <c r="J63" s="55"/>
    </row>
    <row r="64" spans="1:10" ht="12.75">
      <c r="A64" s="600" t="s">
        <v>740</v>
      </c>
      <c r="B64" s="600" t="s">
        <v>741</v>
      </c>
      <c r="C64" s="601">
        <v>3750</v>
      </c>
      <c r="D64" s="601">
        <v>3750</v>
      </c>
      <c r="E64" s="603">
        <v>3750</v>
      </c>
      <c r="F64" s="601">
        <v>3750</v>
      </c>
      <c r="G64" s="601">
        <v>3750</v>
      </c>
      <c r="H64" s="601"/>
      <c r="I64" s="113">
        <f t="shared" si="0"/>
        <v>0</v>
      </c>
      <c r="J64" s="55"/>
    </row>
    <row r="65" spans="1:10" ht="12.75">
      <c r="A65" s="600" t="s">
        <v>742</v>
      </c>
      <c r="B65" s="600" t="s">
        <v>743</v>
      </c>
      <c r="C65" s="601">
        <v>8050198.34</v>
      </c>
      <c r="D65" s="601">
        <v>8050198.34</v>
      </c>
      <c r="E65" s="604">
        <v>7643111.02</v>
      </c>
      <c r="F65" s="604">
        <v>7643111.02</v>
      </c>
      <c r="G65" s="604">
        <v>7643111.02</v>
      </c>
      <c r="H65" s="605">
        <f>E65+E66</f>
        <v>10827742.219999999</v>
      </c>
      <c r="I65" s="113">
        <f t="shared" si="0"/>
        <v>0</v>
      </c>
      <c r="J65" s="350" t="s">
        <v>868</v>
      </c>
    </row>
    <row r="66" spans="1:10" ht="12.75">
      <c r="A66" s="600" t="s">
        <v>744</v>
      </c>
      <c r="B66" s="600" t="s">
        <v>745</v>
      </c>
      <c r="C66" s="601">
        <v>3192891.2</v>
      </c>
      <c r="D66" s="601">
        <v>3192891.2</v>
      </c>
      <c r="E66" s="604">
        <v>3184631.2</v>
      </c>
      <c r="F66" s="601">
        <v>3184631.2</v>
      </c>
      <c r="G66" s="601">
        <v>2833227.2</v>
      </c>
      <c r="H66" s="601"/>
      <c r="I66" s="113">
        <f t="shared" si="0"/>
        <v>351404</v>
      </c>
      <c r="J66" s="55"/>
    </row>
    <row r="67" spans="1:10" ht="12.75">
      <c r="A67" s="600" t="s">
        <v>746</v>
      </c>
      <c r="B67" s="600" t="s">
        <v>747</v>
      </c>
      <c r="C67" s="601">
        <v>1218000.64</v>
      </c>
      <c r="D67" s="601">
        <v>1179666.64</v>
      </c>
      <c r="E67" s="606">
        <v>937766.64</v>
      </c>
      <c r="F67" s="606">
        <v>937766.64</v>
      </c>
      <c r="G67" s="606">
        <v>937766.64</v>
      </c>
      <c r="H67" s="606">
        <f>E67+E68</f>
        <v>4804391.93</v>
      </c>
      <c r="I67" s="113">
        <f t="shared" si="0"/>
        <v>0</v>
      </c>
      <c r="J67" s="350" t="s">
        <v>623</v>
      </c>
    </row>
    <row r="68" spans="1:10" ht="12.75">
      <c r="A68" s="600" t="s">
        <v>748</v>
      </c>
      <c r="B68" s="600" t="s">
        <v>749</v>
      </c>
      <c r="C68" s="601">
        <v>3866625.29</v>
      </c>
      <c r="D68" s="601">
        <v>3866625.29</v>
      </c>
      <c r="E68" s="606">
        <v>3866625.29</v>
      </c>
      <c r="F68" s="601">
        <v>3866625.29</v>
      </c>
      <c r="G68" s="601">
        <v>3866625.29</v>
      </c>
      <c r="H68" s="601"/>
      <c r="I68" s="113">
        <f t="shared" si="0"/>
        <v>0</v>
      </c>
      <c r="J68" s="55"/>
    </row>
    <row r="69" spans="1:10" ht="12.75">
      <c r="A69" s="600" t="s">
        <v>750</v>
      </c>
      <c r="B69" s="600" t="s">
        <v>751</v>
      </c>
      <c r="C69" s="601">
        <v>2422483.36</v>
      </c>
      <c r="D69" s="601">
        <v>2405816.36</v>
      </c>
      <c r="E69" s="607">
        <v>2243016.36</v>
      </c>
      <c r="F69" s="607">
        <v>2243016.36</v>
      </c>
      <c r="G69" s="607">
        <v>2243016.36</v>
      </c>
      <c r="H69" s="607">
        <f>E69+E70+E71</f>
        <v>2244816.36</v>
      </c>
      <c r="I69" s="113">
        <f t="shared" si="0"/>
        <v>0</v>
      </c>
      <c r="J69" s="350" t="s">
        <v>869</v>
      </c>
    </row>
    <row r="70" spans="1:10" ht="12.75">
      <c r="A70" s="600" t="s">
        <v>888</v>
      </c>
      <c r="B70" s="600" t="s">
        <v>889</v>
      </c>
      <c r="C70" s="601">
        <v>300</v>
      </c>
      <c r="D70" s="601">
        <v>300</v>
      </c>
      <c r="E70" s="607">
        <v>300</v>
      </c>
      <c r="F70" s="601">
        <v>300</v>
      </c>
      <c r="G70" s="601">
        <v>300</v>
      </c>
      <c r="H70" s="601"/>
      <c r="I70" s="113">
        <f t="shared" si="0"/>
        <v>0</v>
      </c>
      <c r="J70" s="55"/>
    </row>
    <row r="71" spans="1:10" ht="12.75">
      <c r="A71" s="600" t="s">
        <v>752</v>
      </c>
      <c r="B71" s="600" t="s">
        <v>753</v>
      </c>
      <c r="C71" s="601">
        <v>1500</v>
      </c>
      <c r="D71" s="601">
        <v>1500</v>
      </c>
      <c r="E71" s="607">
        <v>1500</v>
      </c>
      <c r="F71" s="601">
        <v>1500</v>
      </c>
      <c r="G71" s="601">
        <v>1500</v>
      </c>
      <c r="H71" s="601"/>
      <c r="I71" s="113">
        <f t="shared" si="0"/>
        <v>0</v>
      </c>
      <c r="J71" s="55"/>
    </row>
    <row r="72" spans="1:10" ht="12.75">
      <c r="A72" s="600" t="s">
        <v>754</v>
      </c>
      <c r="B72" s="600" t="s">
        <v>755</v>
      </c>
      <c r="C72" s="601">
        <v>7883932.17</v>
      </c>
      <c r="D72" s="601">
        <v>5490321.23</v>
      </c>
      <c r="E72" s="608">
        <v>5482598.03</v>
      </c>
      <c r="F72" s="608">
        <v>5482598.03</v>
      </c>
      <c r="G72" s="608">
        <v>5269122.72</v>
      </c>
      <c r="H72" s="608">
        <f>E72+E73+E74</f>
        <v>7713493.100000001</v>
      </c>
      <c r="I72" s="113">
        <f t="shared" si="0"/>
        <v>213475.31000000052</v>
      </c>
      <c r="J72" s="350" t="s">
        <v>893</v>
      </c>
    </row>
    <row r="73" spans="1:10" ht="12.75">
      <c r="A73" s="600" t="s">
        <v>756</v>
      </c>
      <c r="B73" s="600" t="s">
        <v>757</v>
      </c>
      <c r="C73" s="601">
        <v>175230</v>
      </c>
      <c r="D73" s="601">
        <v>175230</v>
      </c>
      <c r="E73" s="608">
        <v>175230</v>
      </c>
      <c r="F73" s="601">
        <v>175230</v>
      </c>
      <c r="G73" s="601">
        <v>175230</v>
      </c>
      <c r="H73" s="601"/>
      <c r="I73" s="113">
        <f t="shared" si="0"/>
        <v>0</v>
      </c>
      <c r="J73" s="55"/>
    </row>
    <row r="74" spans="1:10" ht="12.75">
      <c r="A74" s="600" t="s">
        <v>758</v>
      </c>
      <c r="B74" s="600" t="s">
        <v>759</v>
      </c>
      <c r="C74" s="601">
        <v>2450557.93</v>
      </c>
      <c r="D74" s="601">
        <v>2212726.28</v>
      </c>
      <c r="E74" s="608">
        <v>2055665.07</v>
      </c>
      <c r="F74" s="601">
        <v>2055665.07</v>
      </c>
      <c r="G74" s="601">
        <v>1816333.49</v>
      </c>
      <c r="H74" s="601"/>
      <c r="I74" s="113">
        <f t="shared" si="0"/>
        <v>239331.58000000007</v>
      </c>
      <c r="J74" s="55"/>
    </row>
    <row r="75" spans="1:10" ht="12.75">
      <c r="A75" s="600" t="s">
        <v>760</v>
      </c>
      <c r="B75" s="600" t="s">
        <v>761</v>
      </c>
      <c r="C75" s="601">
        <v>1512621.89</v>
      </c>
      <c r="D75" s="601">
        <v>1512621.89</v>
      </c>
      <c r="E75" s="609">
        <v>1512621.89</v>
      </c>
      <c r="F75" s="601">
        <v>1512621.89</v>
      </c>
      <c r="G75" s="601">
        <v>1512621.89</v>
      </c>
      <c r="H75" s="609">
        <v>1512621.89</v>
      </c>
      <c r="I75" s="113">
        <f t="shared" si="0"/>
        <v>0</v>
      </c>
      <c r="J75" s="55" t="s">
        <v>17</v>
      </c>
    </row>
    <row r="76" spans="1:10" ht="12.75">
      <c r="A76" s="610" t="s">
        <v>762</v>
      </c>
      <c r="B76" s="610" t="s">
        <v>763</v>
      </c>
      <c r="C76" s="611">
        <v>832966.66</v>
      </c>
      <c r="D76" s="611">
        <v>593768.72</v>
      </c>
      <c r="E76" s="611">
        <v>593768.72</v>
      </c>
      <c r="F76" s="611">
        <v>593768.72</v>
      </c>
      <c r="G76" s="611">
        <v>593768.72</v>
      </c>
      <c r="H76" s="611">
        <f>E76+E77+E78+E79+E80</f>
        <v>2541725.3600000003</v>
      </c>
      <c r="I76" s="113">
        <f t="shared" si="0"/>
        <v>0</v>
      </c>
      <c r="J76" s="55" t="s">
        <v>894</v>
      </c>
    </row>
    <row r="77" spans="1:10" ht="12.75">
      <c r="A77" s="610" t="s">
        <v>764</v>
      </c>
      <c r="B77" s="610" t="s">
        <v>765</v>
      </c>
      <c r="C77" s="611">
        <v>531874.77</v>
      </c>
      <c r="D77" s="611">
        <v>520058.77</v>
      </c>
      <c r="E77" s="611">
        <v>465188.77</v>
      </c>
      <c r="F77" s="611">
        <v>465188.77</v>
      </c>
      <c r="G77" s="611">
        <v>465188.77</v>
      </c>
      <c r="H77" s="601"/>
      <c r="I77" s="113">
        <f t="shared" si="0"/>
        <v>0</v>
      </c>
      <c r="J77" s="55"/>
    </row>
    <row r="78" spans="1:10" ht="12.75">
      <c r="A78" s="610" t="s">
        <v>766</v>
      </c>
      <c r="B78" s="610" t="s">
        <v>767</v>
      </c>
      <c r="C78" s="611">
        <v>1162300</v>
      </c>
      <c r="D78" s="611">
        <v>1162300</v>
      </c>
      <c r="E78" s="611">
        <v>1162300</v>
      </c>
      <c r="F78" s="611">
        <v>0</v>
      </c>
      <c r="G78" s="611">
        <v>0</v>
      </c>
      <c r="H78" s="601"/>
      <c r="I78" s="113">
        <f>E78-G78</f>
        <v>1162300</v>
      </c>
      <c r="J78" s="55"/>
    </row>
    <row r="79" spans="1:10" ht="12.75">
      <c r="A79" s="610" t="s">
        <v>768</v>
      </c>
      <c r="B79" s="610" t="s">
        <v>769</v>
      </c>
      <c r="C79" s="611">
        <v>464464.7</v>
      </c>
      <c r="D79" s="611">
        <v>450834.7</v>
      </c>
      <c r="E79" s="611">
        <v>253797.87</v>
      </c>
      <c r="F79" s="611">
        <v>253797.87</v>
      </c>
      <c r="G79" s="611">
        <v>253797.87</v>
      </c>
      <c r="H79" s="601"/>
      <c r="I79" s="113">
        <f t="shared" si="0"/>
        <v>0</v>
      </c>
      <c r="J79" s="55"/>
    </row>
    <row r="80" spans="1:10" ht="12.75">
      <c r="A80" s="610" t="s">
        <v>770</v>
      </c>
      <c r="B80" s="610" t="s">
        <v>771</v>
      </c>
      <c r="C80" s="611">
        <v>66670</v>
      </c>
      <c r="D80" s="611">
        <v>66670</v>
      </c>
      <c r="E80" s="611">
        <v>66670</v>
      </c>
      <c r="F80" s="611">
        <v>66670</v>
      </c>
      <c r="G80" s="611">
        <v>0</v>
      </c>
      <c r="H80" s="601"/>
      <c r="I80" s="113">
        <f t="shared" si="0"/>
        <v>66670</v>
      </c>
      <c r="J80" s="55"/>
    </row>
    <row r="81" spans="1:10" ht="12.75">
      <c r="A81" s="600" t="s">
        <v>772</v>
      </c>
      <c r="B81" s="600" t="s">
        <v>773</v>
      </c>
      <c r="C81" s="601">
        <v>50705.42</v>
      </c>
      <c r="D81" s="601">
        <v>49705.42</v>
      </c>
      <c r="E81" s="612">
        <v>49705.42</v>
      </c>
      <c r="F81" s="601">
        <v>49705.42</v>
      </c>
      <c r="G81" s="601">
        <v>49705.42</v>
      </c>
      <c r="H81" s="612">
        <f>E82+E81+E89</f>
        <v>648166.9299999999</v>
      </c>
      <c r="I81" s="113">
        <f t="shared" si="0"/>
        <v>0</v>
      </c>
      <c r="J81" s="55"/>
    </row>
    <row r="82" spans="1:10" ht="12.75">
      <c r="A82" s="600" t="s">
        <v>774</v>
      </c>
      <c r="B82" s="600" t="s">
        <v>775</v>
      </c>
      <c r="C82" s="601">
        <v>119180</v>
      </c>
      <c r="D82" s="601">
        <v>119180</v>
      </c>
      <c r="E82" s="612">
        <v>119180</v>
      </c>
      <c r="F82" s="601">
        <v>119180</v>
      </c>
      <c r="G82" s="601">
        <v>119180</v>
      </c>
      <c r="H82" s="601"/>
      <c r="I82" s="113">
        <f t="shared" si="0"/>
        <v>0</v>
      </c>
      <c r="J82" s="55"/>
    </row>
    <row r="83" spans="1:10" ht="12.75">
      <c r="A83" s="600" t="s">
        <v>776</v>
      </c>
      <c r="B83" s="600" t="s">
        <v>777</v>
      </c>
      <c r="C83" s="601">
        <v>4796691.94</v>
      </c>
      <c r="D83" s="601">
        <v>4795393.94</v>
      </c>
      <c r="E83" s="601">
        <v>4795393.94</v>
      </c>
      <c r="F83" s="601">
        <v>4795393.94</v>
      </c>
      <c r="G83" s="601">
        <v>4795393.94</v>
      </c>
      <c r="H83" s="601">
        <f>E83</f>
        <v>4795393.94</v>
      </c>
      <c r="I83" s="113">
        <f t="shared" si="0"/>
        <v>0</v>
      </c>
      <c r="J83" s="55"/>
    </row>
    <row r="84" spans="1:10" ht="12.75">
      <c r="A84" s="600" t="s">
        <v>778</v>
      </c>
      <c r="B84" s="600" t="s">
        <v>779</v>
      </c>
      <c r="C84" s="601">
        <v>271666.67</v>
      </c>
      <c r="D84" s="601">
        <v>271666.67</v>
      </c>
      <c r="E84" s="604">
        <v>271666.67</v>
      </c>
      <c r="F84" s="601">
        <v>271666.67</v>
      </c>
      <c r="G84" s="601">
        <v>271666.67</v>
      </c>
      <c r="H84" s="601"/>
      <c r="I84" s="113">
        <f t="shared" si="0"/>
        <v>0</v>
      </c>
      <c r="J84" s="55"/>
    </row>
    <row r="85" spans="1:10" ht="12.75">
      <c r="A85" s="600" t="s">
        <v>780</v>
      </c>
      <c r="B85" s="600" t="s">
        <v>781</v>
      </c>
      <c r="C85" s="601">
        <v>259600</v>
      </c>
      <c r="D85" s="601">
        <v>259600</v>
      </c>
      <c r="E85" s="604">
        <v>156350</v>
      </c>
      <c r="F85" s="601">
        <v>156350</v>
      </c>
      <c r="G85" s="601">
        <v>156350</v>
      </c>
      <c r="H85" s="601"/>
      <c r="I85" s="113">
        <f t="shared" si="0"/>
        <v>0</v>
      </c>
      <c r="J85" s="55"/>
    </row>
    <row r="86" spans="1:10" ht="12.75">
      <c r="A86" s="600" t="s">
        <v>782</v>
      </c>
      <c r="B86" s="600" t="s">
        <v>783</v>
      </c>
      <c r="C86" s="601">
        <v>603313.6</v>
      </c>
      <c r="D86" s="601">
        <v>603313.6</v>
      </c>
      <c r="E86" s="604">
        <v>603313.6</v>
      </c>
      <c r="F86" s="601">
        <v>603313.6</v>
      </c>
      <c r="G86" s="601">
        <v>603313.6</v>
      </c>
      <c r="H86" s="601"/>
      <c r="I86" s="113">
        <f t="shared" si="0"/>
        <v>0</v>
      </c>
      <c r="J86" s="55"/>
    </row>
    <row r="87" spans="1:10" ht="12.75">
      <c r="A87" s="600" t="s">
        <v>784</v>
      </c>
      <c r="B87" s="600" t="s">
        <v>785</v>
      </c>
      <c r="C87" s="601">
        <v>1000350.9</v>
      </c>
      <c r="D87" s="601">
        <v>1000350.9</v>
      </c>
      <c r="E87" s="604">
        <v>705350.9</v>
      </c>
      <c r="F87" s="601">
        <v>705350.9</v>
      </c>
      <c r="G87" s="601">
        <v>115350.9</v>
      </c>
      <c r="H87" s="601"/>
      <c r="I87" s="113">
        <f t="shared" si="0"/>
        <v>590000</v>
      </c>
      <c r="J87" s="55"/>
    </row>
    <row r="88" spans="1:10" ht="12.75">
      <c r="A88" s="600" t="s">
        <v>786</v>
      </c>
      <c r="B88" s="600" t="s">
        <v>787</v>
      </c>
      <c r="C88" s="601">
        <v>8949176.39</v>
      </c>
      <c r="D88" s="601">
        <v>8946676.39</v>
      </c>
      <c r="E88" s="604">
        <v>5919689.79</v>
      </c>
      <c r="F88" s="604">
        <v>5919689.79</v>
      </c>
      <c r="G88" s="604">
        <v>5919689.79</v>
      </c>
      <c r="H88" s="604">
        <f>E88+E87+E86+E85+E84</f>
        <v>7656370.96</v>
      </c>
      <c r="I88" s="113">
        <f t="shared" si="0"/>
        <v>0</v>
      </c>
      <c r="J88" s="55"/>
    </row>
    <row r="89" spans="1:10" ht="12.75">
      <c r="A89" s="600" t="s">
        <v>788</v>
      </c>
      <c r="B89" s="600" t="s">
        <v>789</v>
      </c>
      <c r="C89" s="601">
        <v>480781.51</v>
      </c>
      <c r="D89" s="601">
        <v>479281.51</v>
      </c>
      <c r="E89" s="612">
        <v>479281.51</v>
      </c>
      <c r="F89" s="601">
        <v>479281.51</v>
      </c>
      <c r="G89" s="601">
        <v>479281.51</v>
      </c>
      <c r="H89" s="601"/>
      <c r="I89" s="113">
        <f t="shared" si="0"/>
        <v>0</v>
      </c>
      <c r="J89" s="55"/>
    </row>
    <row r="90" spans="1:10" ht="12.75">
      <c r="A90" s="613" t="s">
        <v>790</v>
      </c>
      <c r="B90" s="613" t="s">
        <v>791</v>
      </c>
      <c r="C90" s="602">
        <v>12232432.08</v>
      </c>
      <c r="D90" s="602">
        <v>11515083.25</v>
      </c>
      <c r="E90" s="602">
        <v>8984593.98</v>
      </c>
      <c r="F90" s="602">
        <v>8984593.98</v>
      </c>
      <c r="G90" s="602">
        <v>7959971.03</v>
      </c>
      <c r="H90" s="602">
        <f>E90+E91</f>
        <v>9115213.98</v>
      </c>
      <c r="I90" s="113">
        <f t="shared" si="0"/>
        <v>1024622.9500000002</v>
      </c>
      <c r="J90" s="55"/>
    </row>
    <row r="91" spans="1:10" ht="12.75">
      <c r="A91" s="613" t="s">
        <v>792</v>
      </c>
      <c r="B91" s="613" t="s">
        <v>793</v>
      </c>
      <c r="C91" s="602">
        <v>130620</v>
      </c>
      <c r="D91" s="602">
        <v>130620</v>
      </c>
      <c r="E91" s="602">
        <v>130620</v>
      </c>
      <c r="F91" s="602">
        <v>130620</v>
      </c>
      <c r="G91" s="602">
        <v>78700</v>
      </c>
      <c r="H91" s="55"/>
      <c r="I91" s="113">
        <f t="shared" si="0"/>
        <v>51920</v>
      </c>
      <c r="J91" s="55"/>
    </row>
    <row r="92" spans="1:10" ht="12.75">
      <c r="A92" s="614" t="s">
        <v>794</v>
      </c>
      <c r="B92" s="614" t="s">
        <v>795</v>
      </c>
      <c r="C92" s="615">
        <v>47790</v>
      </c>
      <c r="D92" s="615">
        <v>42854.35</v>
      </c>
      <c r="E92" s="615">
        <v>0</v>
      </c>
      <c r="F92" s="615">
        <v>0</v>
      </c>
      <c r="G92" s="615">
        <v>0</v>
      </c>
      <c r="H92" s="615">
        <f>D92+D93+D94</f>
        <v>2305881.75</v>
      </c>
      <c r="I92" s="113">
        <f t="shared" si="0"/>
        <v>0</v>
      </c>
      <c r="J92" s="55"/>
    </row>
    <row r="93" spans="1:10" ht="12.75">
      <c r="A93" s="614" t="s">
        <v>796</v>
      </c>
      <c r="B93" s="614" t="s">
        <v>797</v>
      </c>
      <c r="C93" s="615">
        <v>100175</v>
      </c>
      <c r="D93" s="615">
        <v>100175</v>
      </c>
      <c r="E93" s="615">
        <v>675</v>
      </c>
      <c r="F93" s="615">
        <v>675</v>
      </c>
      <c r="G93" s="615">
        <v>675</v>
      </c>
      <c r="H93" s="601"/>
      <c r="I93" s="113">
        <f t="shared" si="0"/>
        <v>0</v>
      </c>
      <c r="J93" s="55"/>
    </row>
    <row r="94" spans="1:10" ht="12.75">
      <c r="A94" s="614" t="s">
        <v>798</v>
      </c>
      <c r="B94" s="614" t="s">
        <v>799</v>
      </c>
      <c r="C94" s="615">
        <v>2162853</v>
      </c>
      <c r="D94" s="615">
        <v>2162852.4</v>
      </c>
      <c r="E94" s="615">
        <v>2044144.4</v>
      </c>
      <c r="F94" s="615">
        <v>2044144.4</v>
      </c>
      <c r="G94" s="615">
        <v>1798025</v>
      </c>
      <c r="H94" s="601"/>
      <c r="I94" s="113">
        <f t="shared" si="0"/>
        <v>246119.3999999999</v>
      </c>
      <c r="J94" s="55"/>
    </row>
    <row r="95" spans="1:10" ht="12.75">
      <c r="A95" s="600" t="s">
        <v>800</v>
      </c>
      <c r="B95" s="616" t="s">
        <v>801</v>
      </c>
      <c r="C95" s="606">
        <v>452323.14</v>
      </c>
      <c r="D95" s="606">
        <v>414728.58</v>
      </c>
      <c r="E95" s="606">
        <v>414728.58</v>
      </c>
      <c r="F95" s="606">
        <v>414728.58</v>
      </c>
      <c r="G95" s="606">
        <v>414728.58</v>
      </c>
      <c r="H95" s="606">
        <f>E95+E96+E97</f>
        <v>608075.2</v>
      </c>
      <c r="I95" s="113">
        <f t="shared" si="0"/>
        <v>0</v>
      </c>
      <c r="J95" s="55"/>
    </row>
    <row r="96" spans="1:10" ht="12.75">
      <c r="A96" s="600" t="s">
        <v>802</v>
      </c>
      <c r="B96" s="616" t="s">
        <v>803</v>
      </c>
      <c r="C96" s="606">
        <v>1124850.42</v>
      </c>
      <c r="D96" s="606">
        <v>1110927.22</v>
      </c>
      <c r="E96" s="606">
        <v>76161.62</v>
      </c>
      <c r="F96" s="606">
        <v>76161.62</v>
      </c>
      <c r="G96" s="606">
        <v>76161.62</v>
      </c>
      <c r="H96" s="601"/>
      <c r="I96" s="113">
        <f t="shared" si="0"/>
        <v>0</v>
      </c>
      <c r="J96" s="55"/>
    </row>
    <row r="97" spans="1:10" ht="12.75">
      <c r="A97" s="600" t="s">
        <v>890</v>
      </c>
      <c r="B97" s="616" t="s">
        <v>891</v>
      </c>
      <c r="C97" s="606">
        <v>117191</v>
      </c>
      <c r="D97" s="606">
        <v>117185</v>
      </c>
      <c r="E97" s="606">
        <v>117185</v>
      </c>
      <c r="F97" s="606">
        <v>117185</v>
      </c>
      <c r="G97" s="606">
        <v>0</v>
      </c>
      <c r="H97" s="601"/>
      <c r="I97" s="113">
        <f t="shared" si="0"/>
        <v>117185</v>
      </c>
      <c r="J97" s="55"/>
    </row>
    <row r="98" spans="1:10" ht="12.75">
      <c r="A98" s="600" t="s">
        <v>804</v>
      </c>
      <c r="B98" s="600" t="s">
        <v>805</v>
      </c>
      <c r="C98" s="601">
        <v>1232.87</v>
      </c>
      <c r="D98" s="601">
        <v>1232.87</v>
      </c>
      <c r="E98" s="601">
        <v>1232.87</v>
      </c>
      <c r="F98" s="601">
        <v>1232.87</v>
      </c>
      <c r="G98" s="601">
        <v>1232.87</v>
      </c>
      <c r="H98" s="601">
        <f>D98</f>
        <v>1232.87</v>
      </c>
      <c r="I98" s="113">
        <f t="shared" si="0"/>
        <v>0</v>
      </c>
      <c r="J98" s="55"/>
    </row>
    <row r="99" spans="1:10" ht="12.75">
      <c r="A99" s="617" t="s">
        <v>806</v>
      </c>
      <c r="B99" s="617" t="s">
        <v>807</v>
      </c>
      <c r="C99" s="607">
        <v>247626.01</v>
      </c>
      <c r="D99" s="607">
        <v>245126.01</v>
      </c>
      <c r="E99" s="607">
        <v>245126.01</v>
      </c>
      <c r="F99" s="607">
        <v>245126.01</v>
      </c>
      <c r="G99" s="607">
        <v>245126.01</v>
      </c>
      <c r="H99" s="607">
        <f>E99+E100+E101</f>
        <v>258122.29</v>
      </c>
      <c r="I99" s="113">
        <f t="shared" si="0"/>
        <v>0</v>
      </c>
      <c r="J99" s="55"/>
    </row>
    <row r="100" spans="1:10" ht="12.75">
      <c r="A100" s="617" t="s">
        <v>808</v>
      </c>
      <c r="B100" s="617" t="s">
        <v>809</v>
      </c>
      <c r="C100" s="607">
        <v>3717</v>
      </c>
      <c r="D100" s="607">
        <v>3717</v>
      </c>
      <c r="E100" s="607">
        <v>3717</v>
      </c>
      <c r="F100" s="607">
        <v>3717</v>
      </c>
      <c r="G100" s="607">
        <v>3717</v>
      </c>
      <c r="H100" s="601"/>
      <c r="I100" s="113">
        <f t="shared" si="0"/>
        <v>0</v>
      </c>
      <c r="J100" s="55"/>
    </row>
    <row r="101" spans="1:10" ht="12.75">
      <c r="A101" s="617" t="s">
        <v>810</v>
      </c>
      <c r="B101" s="617" t="s">
        <v>811</v>
      </c>
      <c r="C101" s="607">
        <v>1105430.28</v>
      </c>
      <c r="D101" s="607">
        <v>1101605.28</v>
      </c>
      <c r="E101" s="607">
        <v>9279.28</v>
      </c>
      <c r="F101" s="607">
        <v>9279.28</v>
      </c>
      <c r="G101" s="607">
        <v>9279.28</v>
      </c>
      <c r="H101" s="601"/>
      <c r="I101" s="113">
        <f t="shared" si="0"/>
        <v>0</v>
      </c>
      <c r="J101" s="55"/>
    </row>
    <row r="102" spans="1:10" ht="12.75">
      <c r="A102" s="600" t="s">
        <v>812</v>
      </c>
      <c r="B102" s="600" t="s">
        <v>813</v>
      </c>
      <c r="C102" s="618">
        <v>131638.01</v>
      </c>
      <c r="D102" s="618">
        <v>131472.98</v>
      </c>
      <c r="E102" s="618">
        <v>110232.98</v>
      </c>
      <c r="F102" s="618">
        <v>110232.98</v>
      </c>
      <c r="G102" s="618">
        <v>110232.98</v>
      </c>
      <c r="H102" s="618">
        <f>E102+E103</f>
        <v>408831.98</v>
      </c>
      <c r="I102" s="113">
        <f t="shared" si="0"/>
        <v>0</v>
      </c>
      <c r="J102" s="55"/>
    </row>
    <row r="103" spans="1:10" ht="12.75">
      <c r="A103" s="600" t="s">
        <v>814</v>
      </c>
      <c r="B103" s="600" t="s">
        <v>815</v>
      </c>
      <c r="C103" s="618">
        <v>298599</v>
      </c>
      <c r="D103" s="618">
        <v>298599</v>
      </c>
      <c r="E103" s="618">
        <v>298599</v>
      </c>
      <c r="F103" s="618">
        <v>298599</v>
      </c>
      <c r="G103" s="618">
        <v>298599</v>
      </c>
      <c r="H103" s="618"/>
      <c r="I103" s="113">
        <f t="shared" si="0"/>
        <v>0</v>
      </c>
      <c r="J103" s="55"/>
    </row>
    <row r="104" spans="1:10" ht="12.75">
      <c r="A104" s="600" t="s">
        <v>816</v>
      </c>
      <c r="B104" s="600" t="s">
        <v>817</v>
      </c>
      <c r="C104" s="601">
        <v>5056723</v>
      </c>
      <c r="D104" s="601">
        <v>5056723</v>
      </c>
      <c r="E104" s="609">
        <v>5056723</v>
      </c>
      <c r="F104" s="609">
        <v>5056723</v>
      </c>
      <c r="G104" s="609">
        <v>4325723</v>
      </c>
      <c r="H104" s="609">
        <f>E104+E105+E106+E107</f>
        <v>5131845.18</v>
      </c>
      <c r="I104" s="113">
        <f t="shared" si="0"/>
        <v>731000</v>
      </c>
      <c r="J104" s="55"/>
    </row>
    <row r="105" spans="1:10" ht="12.75">
      <c r="A105" s="600" t="s">
        <v>818</v>
      </c>
      <c r="B105" s="600" t="s">
        <v>819</v>
      </c>
      <c r="C105" s="601">
        <v>15098.5</v>
      </c>
      <c r="D105" s="601">
        <v>12598.5</v>
      </c>
      <c r="E105" s="609">
        <v>12598.5</v>
      </c>
      <c r="F105" s="609">
        <v>12598.5</v>
      </c>
      <c r="G105" s="609">
        <v>12598.5</v>
      </c>
      <c r="H105" s="601"/>
      <c r="I105" s="113">
        <f t="shared" si="0"/>
        <v>0</v>
      </c>
      <c r="J105" s="55"/>
    </row>
    <row r="106" spans="1:10" ht="12.75">
      <c r="A106" s="600" t="s">
        <v>820</v>
      </c>
      <c r="B106" s="600" t="s">
        <v>821</v>
      </c>
      <c r="C106" s="601">
        <v>70100.26</v>
      </c>
      <c r="D106" s="601">
        <v>59922.68</v>
      </c>
      <c r="E106" s="609">
        <v>59922.68</v>
      </c>
      <c r="F106" s="609">
        <v>59922.68</v>
      </c>
      <c r="G106" s="609">
        <v>59922.68</v>
      </c>
      <c r="H106" s="601"/>
      <c r="I106" s="113">
        <f t="shared" si="0"/>
        <v>0</v>
      </c>
      <c r="J106" s="55"/>
    </row>
    <row r="107" spans="1:10" ht="12.75">
      <c r="A107" s="600" t="s">
        <v>822</v>
      </c>
      <c r="B107" s="600" t="s">
        <v>823</v>
      </c>
      <c r="C107" s="601">
        <v>3101</v>
      </c>
      <c r="D107" s="601">
        <v>2601</v>
      </c>
      <c r="E107" s="609">
        <v>2601</v>
      </c>
      <c r="F107" s="609">
        <v>2601</v>
      </c>
      <c r="G107" s="609">
        <v>2601</v>
      </c>
      <c r="H107" s="601"/>
      <c r="I107" s="113">
        <f t="shared" si="0"/>
        <v>0</v>
      </c>
      <c r="J107" s="55"/>
    </row>
    <row r="108" spans="1:10" ht="12.75">
      <c r="A108" s="600" t="s">
        <v>824</v>
      </c>
      <c r="B108" s="600" t="s">
        <v>825</v>
      </c>
      <c r="C108" s="601">
        <v>306362</v>
      </c>
      <c r="D108" s="601">
        <v>305362</v>
      </c>
      <c r="E108" s="601">
        <v>0</v>
      </c>
      <c r="F108" s="601">
        <v>0</v>
      </c>
      <c r="G108" s="601">
        <v>0</v>
      </c>
      <c r="H108" s="601"/>
      <c r="I108" s="113">
        <f t="shared" si="0"/>
        <v>0</v>
      </c>
      <c r="J108" s="55"/>
    </row>
    <row r="109" spans="1:10" ht="12.75">
      <c r="A109" s="600" t="s">
        <v>826</v>
      </c>
      <c r="B109" s="600" t="s">
        <v>827</v>
      </c>
      <c r="C109" s="601">
        <v>1564112.87</v>
      </c>
      <c r="D109" s="601">
        <v>1397559.12</v>
      </c>
      <c r="E109" s="619">
        <v>1397559.12</v>
      </c>
      <c r="F109" s="619">
        <v>1397559.12</v>
      </c>
      <c r="G109" s="619">
        <v>1167165.08</v>
      </c>
      <c r="H109" s="619">
        <f>E109+E110+E111+E112+E113+E114</f>
        <v>2466618.1000000006</v>
      </c>
      <c r="I109" s="113">
        <f t="shared" si="0"/>
        <v>230394.04000000004</v>
      </c>
      <c r="J109" s="55"/>
    </row>
    <row r="110" spans="1:10" ht="12.75">
      <c r="A110" s="600" t="s">
        <v>828</v>
      </c>
      <c r="B110" s="600" t="s">
        <v>829</v>
      </c>
      <c r="C110" s="601">
        <v>50000</v>
      </c>
      <c r="D110" s="601">
        <v>44977.59</v>
      </c>
      <c r="E110" s="619">
        <v>44977.59</v>
      </c>
      <c r="F110" s="601">
        <v>44977.59</v>
      </c>
      <c r="G110" s="601">
        <v>0</v>
      </c>
      <c r="H110" s="601"/>
      <c r="I110" s="113">
        <f t="shared" si="0"/>
        <v>44977.59</v>
      </c>
      <c r="J110" s="55"/>
    </row>
    <row r="111" spans="1:10" ht="12.75">
      <c r="A111" s="600" t="s">
        <v>830</v>
      </c>
      <c r="B111" s="600" t="s">
        <v>831</v>
      </c>
      <c r="C111" s="601">
        <v>859.95</v>
      </c>
      <c r="D111" s="601">
        <v>859.95</v>
      </c>
      <c r="E111" s="619">
        <v>859.95</v>
      </c>
      <c r="F111" s="601">
        <v>859.95</v>
      </c>
      <c r="G111" s="601">
        <v>859.95</v>
      </c>
      <c r="H111" s="601"/>
      <c r="I111" s="113">
        <f t="shared" si="0"/>
        <v>0</v>
      </c>
      <c r="J111" s="55"/>
    </row>
    <row r="112" spans="1:10" ht="12.75">
      <c r="A112" s="600" t="s">
        <v>832</v>
      </c>
      <c r="B112" s="600" t="s">
        <v>833</v>
      </c>
      <c r="C112" s="601">
        <v>240026.97</v>
      </c>
      <c r="D112" s="601">
        <v>231035.05</v>
      </c>
      <c r="E112" s="619">
        <v>231035.05</v>
      </c>
      <c r="F112" s="601">
        <v>231035.05</v>
      </c>
      <c r="G112" s="601">
        <v>211329.05</v>
      </c>
      <c r="H112" s="601"/>
      <c r="I112" s="113">
        <f t="shared" si="0"/>
        <v>19706</v>
      </c>
      <c r="J112" s="55"/>
    </row>
    <row r="113" spans="1:10" ht="12.75">
      <c r="A113" s="600" t="s">
        <v>834</v>
      </c>
      <c r="B113" s="600" t="s">
        <v>835</v>
      </c>
      <c r="C113" s="601">
        <v>171600.8</v>
      </c>
      <c r="D113" s="601">
        <v>168600.8</v>
      </c>
      <c r="E113" s="619">
        <v>156094.6</v>
      </c>
      <c r="F113" s="601">
        <v>156094.6</v>
      </c>
      <c r="G113" s="601">
        <v>80094.6</v>
      </c>
      <c r="H113" s="601"/>
      <c r="I113" s="113">
        <f t="shared" si="0"/>
        <v>76000</v>
      </c>
      <c r="J113" s="55"/>
    </row>
    <row r="114" spans="1:10" ht="12.75">
      <c r="A114" s="600" t="s">
        <v>836</v>
      </c>
      <c r="B114" s="600" t="s">
        <v>837</v>
      </c>
      <c r="C114" s="601">
        <v>797091.79</v>
      </c>
      <c r="D114" s="601">
        <v>786082.77</v>
      </c>
      <c r="E114" s="619">
        <v>636091.79</v>
      </c>
      <c r="F114" s="601">
        <v>636091.79</v>
      </c>
      <c r="G114" s="601">
        <v>608231.99</v>
      </c>
      <c r="H114" s="601"/>
      <c r="I114" s="113">
        <f t="shared" si="0"/>
        <v>27859.800000000047</v>
      </c>
      <c r="J114" s="55"/>
    </row>
    <row r="115" spans="1:10" ht="12.75">
      <c r="A115" s="600" t="s">
        <v>838</v>
      </c>
      <c r="B115" s="600" t="s">
        <v>839</v>
      </c>
      <c r="C115" s="601">
        <v>8500000</v>
      </c>
      <c r="D115" s="601">
        <v>8500000</v>
      </c>
      <c r="E115" s="601">
        <v>8000000</v>
      </c>
      <c r="F115" s="601">
        <v>8000000</v>
      </c>
      <c r="G115" s="601">
        <v>8000000</v>
      </c>
      <c r="H115" s="601"/>
      <c r="I115" s="113">
        <f aca="true" t="shared" si="1" ref="I115:I128">E115-G115</f>
        <v>0</v>
      </c>
      <c r="J115" s="55"/>
    </row>
    <row r="116" spans="1:10" ht="12.75">
      <c r="A116" s="600" t="s">
        <v>840</v>
      </c>
      <c r="B116" s="600" t="s">
        <v>841</v>
      </c>
      <c r="C116" s="601">
        <v>1300000</v>
      </c>
      <c r="D116" s="601">
        <v>1300000</v>
      </c>
      <c r="E116" s="601">
        <v>1300000</v>
      </c>
      <c r="F116" s="601">
        <v>1300000</v>
      </c>
      <c r="G116" s="601">
        <v>1300000</v>
      </c>
      <c r="H116" s="601"/>
      <c r="I116" s="113">
        <f t="shared" si="1"/>
        <v>0</v>
      </c>
      <c r="J116" s="55"/>
    </row>
    <row r="117" spans="1:10" ht="12.75">
      <c r="A117" s="600" t="s">
        <v>842</v>
      </c>
      <c r="B117" s="600" t="s">
        <v>843</v>
      </c>
      <c r="C117" s="601">
        <v>22423333.38</v>
      </c>
      <c r="D117" s="601">
        <v>22423333.38</v>
      </c>
      <c r="E117" s="601">
        <v>22423333.38</v>
      </c>
      <c r="F117" s="601">
        <v>22423333.38</v>
      </c>
      <c r="G117" s="601">
        <v>22423333.38</v>
      </c>
      <c r="H117" s="601"/>
      <c r="I117" s="113">
        <f t="shared" si="1"/>
        <v>0</v>
      </c>
      <c r="J117" s="55"/>
    </row>
    <row r="118" spans="1:10" ht="12.75">
      <c r="A118" s="600" t="s">
        <v>844</v>
      </c>
      <c r="B118" s="600" t="s">
        <v>845</v>
      </c>
      <c r="C118" s="601">
        <v>739500</v>
      </c>
      <c r="D118" s="601">
        <v>739500</v>
      </c>
      <c r="E118" s="601">
        <v>739500</v>
      </c>
      <c r="F118" s="601">
        <v>739500</v>
      </c>
      <c r="G118" s="601">
        <v>739500</v>
      </c>
      <c r="H118" s="601"/>
      <c r="I118" s="113">
        <f t="shared" si="1"/>
        <v>0</v>
      </c>
      <c r="J118" s="55"/>
    </row>
    <row r="119" spans="1:10" ht="12.75">
      <c r="A119" s="600" t="s">
        <v>846</v>
      </c>
      <c r="B119" s="600" t="s">
        <v>847</v>
      </c>
      <c r="C119" s="601">
        <v>29494218</v>
      </c>
      <c r="D119" s="601">
        <v>29494218</v>
      </c>
      <c r="E119" s="601">
        <v>29494218</v>
      </c>
      <c r="F119" s="601">
        <v>29494218</v>
      </c>
      <c r="G119" s="601">
        <v>29494218</v>
      </c>
      <c r="H119" s="601"/>
      <c r="I119" s="113">
        <f t="shared" si="1"/>
        <v>0</v>
      </c>
      <c r="J119" s="55"/>
    </row>
    <row r="120" spans="1:10" ht="12.75">
      <c r="A120" s="600" t="s">
        <v>848</v>
      </c>
      <c r="B120" s="600" t="s">
        <v>849</v>
      </c>
      <c r="C120" s="601">
        <v>2221587.21</v>
      </c>
      <c r="D120" s="601">
        <v>94587.21</v>
      </c>
      <c r="E120" s="601">
        <v>94587.21</v>
      </c>
      <c r="F120" s="601">
        <v>94587.21</v>
      </c>
      <c r="G120" s="601">
        <v>94587.21</v>
      </c>
      <c r="H120" s="601">
        <f>E120+E121+E126+E127+E128+E123</f>
        <v>2433834.6</v>
      </c>
      <c r="I120" s="113">
        <f t="shared" si="1"/>
        <v>0</v>
      </c>
      <c r="J120" s="55"/>
    </row>
    <row r="121" spans="1:10" ht="12.75">
      <c r="A121" s="600" t="s">
        <v>850</v>
      </c>
      <c r="B121" s="600" t="s">
        <v>851</v>
      </c>
      <c r="C121" s="601">
        <v>3780991</v>
      </c>
      <c r="D121" s="601">
        <v>3532849.06</v>
      </c>
      <c r="E121" s="601">
        <v>1886041.06</v>
      </c>
      <c r="F121" s="601">
        <v>1886041.06</v>
      </c>
      <c r="G121" s="601">
        <v>1430271.13</v>
      </c>
      <c r="H121" s="601"/>
      <c r="I121" s="113">
        <f t="shared" si="1"/>
        <v>455769.93000000017</v>
      </c>
      <c r="J121" s="55"/>
    </row>
    <row r="122" spans="1:10" ht="12.75">
      <c r="A122" s="600" t="s">
        <v>852</v>
      </c>
      <c r="B122" s="600" t="s">
        <v>853</v>
      </c>
      <c r="C122" s="601">
        <v>1990510</v>
      </c>
      <c r="D122" s="601">
        <v>1990510</v>
      </c>
      <c r="E122" s="601">
        <v>1990509.92</v>
      </c>
      <c r="F122" s="601">
        <v>1990509.92</v>
      </c>
      <c r="G122" s="601">
        <v>1990509.92</v>
      </c>
      <c r="H122" s="601"/>
      <c r="I122" s="113">
        <f t="shared" si="1"/>
        <v>0</v>
      </c>
      <c r="J122" s="55"/>
    </row>
    <row r="123" spans="1:10" ht="12.75">
      <c r="A123" s="600" t="s">
        <v>854</v>
      </c>
      <c r="B123" s="600" t="s">
        <v>855</v>
      </c>
      <c r="C123" s="601">
        <v>118404.93</v>
      </c>
      <c r="D123" s="601">
        <v>118404.93</v>
      </c>
      <c r="E123" s="601">
        <v>118404.93</v>
      </c>
      <c r="F123" s="601">
        <v>118404.93</v>
      </c>
      <c r="G123" s="601">
        <v>118404.93</v>
      </c>
      <c r="H123" s="601"/>
      <c r="I123" s="113">
        <f t="shared" si="1"/>
        <v>0</v>
      </c>
      <c r="J123" s="55"/>
    </row>
    <row r="124" spans="1:10" ht="12.75">
      <c r="A124" s="600" t="s">
        <v>856</v>
      </c>
      <c r="B124" s="600" t="s">
        <v>857</v>
      </c>
      <c r="C124" s="601">
        <v>340000</v>
      </c>
      <c r="D124" s="601">
        <v>0</v>
      </c>
      <c r="E124" s="601">
        <v>0</v>
      </c>
      <c r="F124" s="601">
        <v>0</v>
      </c>
      <c r="G124" s="601">
        <v>0</v>
      </c>
      <c r="H124" s="601"/>
      <c r="I124" s="113">
        <f t="shared" si="1"/>
        <v>0</v>
      </c>
      <c r="J124" s="55"/>
    </row>
    <row r="125" spans="1:10" ht="12.75">
      <c r="A125" s="600" t="s">
        <v>858</v>
      </c>
      <c r="B125" s="600" t="s">
        <v>859</v>
      </c>
      <c r="C125" s="601">
        <v>11412088</v>
      </c>
      <c r="D125" s="601">
        <v>0</v>
      </c>
      <c r="E125" s="601">
        <v>0</v>
      </c>
      <c r="F125" s="601">
        <v>0</v>
      </c>
      <c r="G125" s="601">
        <v>0</v>
      </c>
      <c r="H125" s="601"/>
      <c r="I125" s="113">
        <f t="shared" si="1"/>
        <v>0</v>
      </c>
      <c r="J125" s="55"/>
    </row>
    <row r="126" spans="1:10" ht="12.75">
      <c r="A126" s="600" t="s">
        <v>860</v>
      </c>
      <c r="B126" s="600" t="s">
        <v>861</v>
      </c>
      <c r="C126" s="601">
        <v>74281</v>
      </c>
      <c r="D126" s="601">
        <v>74281</v>
      </c>
      <c r="E126" s="601">
        <v>74281</v>
      </c>
      <c r="F126" s="601">
        <v>74281</v>
      </c>
      <c r="G126" s="601">
        <v>74281</v>
      </c>
      <c r="H126" s="601"/>
      <c r="I126" s="113">
        <f t="shared" si="1"/>
        <v>0</v>
      </c>
      <c r="J126" s="55"/>
    </row>
    <row r="127" spans="1:10" ht="12.75">
      <c r="A127" s="600" t="s">
        <v>862</v>
      </c>
      <c r="B127" s="600" t="s">
        <v>863</v>
      </c>
      <c r="C127" s="601">
        <v>61360</v>
      </c>
      <c r="D127" s="601">
        <v>61360</v>
      </c>
      <c r="E127" s="601">
        <v>61360</v>
      </c>
      <c r="F127" s="601">
        <v>61360</v>
      </c>
      <c r="G127" s="601">
        <v>61360</v>
      </c>
      <c r="H127" s="601"/>
      <c r="I127" s="113">
        <f t="shared" si="1"/>
        <v>0</v>
      </c>
      <c r="J127" s="55"/>
    </row>
    <row r="128" spans="1:10" ht="15">
      <c r="A128" s="600" t="s">
        <v>864</v>
      </c>
      <c r="B128" s="600" t="s">
        <v>865</v>
      </c>
      <c r="C128" s="601">
        <v>250000</v>
      </c>
      <c r="D128" s="601">
        <v>199160.4</v>
      </c>
      <c r="E128" s="601">
        <v>199160.4</v>
      </c>
      <c r="F128" s="601">
        <v>199160.4</v>
      </c>
      <c r="G128" s="601">
        <v>199160.4</v>
      </c>
      <c r="H128" s="601"/>
      <c r="I128" s="620">
        <f t="shared" si="1"/>
        <v>0</v>
      </c>
      <c r="J128" s="55"/>
    </row>
    <row r="129" spans="1:10" ht="12.75">
      <c r="A129" s="585"/>
      <c r="B129" s="585"/>
      <c r="C129" s="589">
        <f>SUM(C50:C128)</f>
        <v>315519357.77999985</v>
      </c>
      <c r="D129" s="589">
        <f>SUM(D50:D128)</f>
        <v>297208849.1599999</v>
      </c>
      <c r="E129" s="589">
        <f>SUM(E50:E128)</f>
        <v>283343217.4299999</v>
      </c>
      <c r="F129" s="589">
        <f>SUM(F50:F128)</f>
        <v>282180917.4299999</v>
      </c>
      <c r="G129" s="589">
        <f>SUM(G50:G128)</f>
        <v>277682766.8299999</v>
      </c>
      <c r="H129" s="589"/>
      <c r="I129" s="113">
        <f>SUM(I50:I128)</f>
        <v>5660450.6</v>
      </c>
      <c r="J129" s="55"/>
    </row>
    <row r="130" spans="1:10" ht="12.75">
      <c r="A130" s="585"/>
      <c r="B130" s="585"/>
      <c r="C130" s="585"/>
      <c r="D130" s="585"/>
      <c r="E130" s="585"/>
      <c r="F130" s="585"/>
      <c r="G130" s="585"/>
      <c r="H130" s="585"/>
      <c r="I130" s="55"/>
      <c r="J130" s="55"/>
    </row>
  </sheetData>
  <sheetProtection/>
  <printOptions/>
  <pageMargins left="0.2" right="0.17" top="0.7480314960629921" bottom="0.7480314960629921" header="0.31496062992125984" footer="0.31496062992125984"/>
  <pageSetup orientation="landscape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7:I91"/>
  <sheetViews>
    <sheetView zoomScalePageLayoutView="0" workbookViewId="0" topLeftCell="A1">
      <selection activeCell="G5" sqref="G5"/>
    </sheetView>
  </sheetViews>
  <sheetFormatPr defaultColWidth="11.421875" defaultRowHeight="12.75"/>
  <cols>
    <col min="2" max="2" width="32.00390625" style="0" customWidth="1"/>
    <col min="3" max="3" width="15.8515625" style="0" customWidth="1"/>
    <col min="4" max="4" width="15.421875" style="0" customWidth="1"/>
    <col min="5" max="5" width="15.8515625" style="0" customWidth="1"/>
    <col min="6" max="6" width="14.8515625" style="0" customWidth="1"/>
    <col min="7" max="7" width="16.421875" style="0" customWidth="1"/>
    <col min="8" max="8" width="14.421875" style="0" customWidth="1"/>
    <col min="9" max="9" width="14.8515625" style="0" customWidth="1"/>
  </cols>
  <sheetData>
    <row r="7" spans="1:8" ht="12.75">
      <c r="A7" s="730"/>
      <c r="B7" s="730"/>
      <c r="C7" s="730"/>
      <c r="D7" s="730"/>
      <c r="E7" s="730"/>
      <c r="F7" s="730"/>
      <c r="G7" s="730"/>
      <c r="H7" s="730"/>
    </row>
    <row r="8" ht="12.75">
      <c r="D8" t="s">
        <v>154</v>
      </c>
    </row>
    <row r="9" spans="1:9" ht="15.75">
      <c r="A9" s="621" t="s">
        <v>705</v>
      </c>
      <c r="B9" s="621" t="s">
        <v>706</v>
      </c>
      <c r="C9" s="621" t="s">
        <v>707</v>
      </c>
      <c r="D9" s="621" t="s">
        <v>708</v>
      </c>
      <c r="E9" s="621" t="s">
        <v>709</v>
      </c>
      <c r="F9" s="621" t="s">
        <v>710</v>
      </c>
      <c r="G9" s="621" t="s">
        <v>711</v>
      </c>
      <c r="H9" s="621"/>
      <c r="I9" s="623"/>
    </row>
    <row r="10" spans="1:9" ht="12.75">
      <c r="A10" s="600" t="s">
        <v>712</v>
      </c>
      <c r="B10" s="600" t="s">
        <v>713</v>
      </c>
      <c r="C10" s="601">
        <v>131654053.42</v>
      </c>
      <c r="D10" s="601">
        <v>131654053.42</v>
      </c>
      <c r="E10" s="601">
        <v>131564720.02</v>
      </c>
      <c r="F10" s="601">
        <v>131564720.02</v>
      </c>
      <c r="G10" s="601">
        <v>131564720.02</v>
      </c>
      <c r="H10" s="601"/>
      <c r="I10" s="113">
        <f>E10-G10</f>
        <v>0</v>
      </c>
    </row>
    <row r="11" spans="1:9" ht="12.75">
      <c r="A11" s="600" t="s">
        <v>714</v>
      </c>
      <c r="B11" s="600" t="s">
        <v>715</v>
      </c>
      <c r="C11" s="601">
        <v>4706000</v>
      </c>
      <c r="D11" s="601">
        <v>3638000</v>
      </c>
      <c r="E11" s="601">
        <v>3607000</v>
      </c>
      <c r="F11" s="601">
        <v>3607000</v>
      </c>
      <c r="G11" s="601">
        <v>3607000</v>
      </c>
      <c r="H11" s="601"/>
      <c r="I11" s="113">
        <f aca="true" t="shared" si="0" ref="I11:I74">E11-G11</f>
        <v>0</v>
      </c>
    </row>
    <row r="12" spans="1:9" ht="12.75">
      <c r="A12" s="600" t="s">
        <v>716</v>
      </c>
      <c r="B12" s="600" t="s">
        <v>717</v>
      </c>
      <c r="C12" s="601">
        <v>81499.89</v>
      </c>
      <c r="D12" s="601">
        <v>81499.89</v>
      </c>
      <c r="E12" s="601">
        <v>0</v>
      </c>
      <c r="F12" s="601">
        <v>0</v>
      </c>
      <c r="G12" s="601">
        <v>0</v>
      </c>
      <c r="H12" s="601"/>
      <c r="I12" s="113">
        <f t="shared" si="0"/>
        <v>0</v>
      </c>
    </row>
    <row r="13" spans="1:9" ht="12.75">
      <c r="A13" s="600" t="s">
        <v>718</v>
      </c>
      <c r="B13" s="600" t="s">
        <v>719</v>
      </c>
      <c r="C13" s="601">
        <v>4312200</v>
      </c>
      <c r="D13" s="601">
        <v>4312200</v>
      </c>
      <c r="E13" s="601">
        <v>4244200</v>
      </c>
      <c r="F13" s="601">
        <v>4244200</v>
      </c>
      <c r="G13" s="601">
        <v>4244200</v>
      </c>
      <c r="H13" s="601"/>
      <c r="I13" s="113">
        <f t="shared" si="0"/>
        <v>0</v>
      </c>
    </row>
    <row r="14" spans="1:9" ht="12.75">
      <c r="A14" s="600" t="s">
        <v>720</v>
      </c>
      <c r="B14" s="600" t="s">
        <v>721</v>
      </c>
      <c r="C14" s="601">
        <v>600710.68</v>
      </c>
      <c r="D14" s="601">
        <v>600710.68</v>
      </c>
      <c r="E14" s="601">
        <v>600710.68</v>
      </c>
      <c r="F14" s="601">
        <v>600710.68</v>
      </c>
      <c r="G14" s="601">
        <v>600710.68</v>
      </c>
      <c r="H14" s="601"/>
      <c r="I14" s="113">
        <f t="shared" si="0"/>
        <v>0</v>
      </c>
    </row>
    <row r="15" spans="1:9" ht="12.75">
      <c r="A15" s="600" t="s">
        <v>722</v>
      </c>
      <c r="B15" s="600" t="s">
        <v>723</v>
      </c>
      <c r="C15" s="601">
        <v>4136000</v>
      </c>
      <c r="D15" s="601">
        <v>4136000</v>
      </c>
      <c r="E15" s="601">
        <v>3619000</v>
      </c>
      <c r="F15" s="601">
        <v>3619000</v>
      </c>
      <c r="G15" s="601">
        <v>3619000</v>
      </c>
      <c r="H15" s="601"/>
      <c r="I15" s="113">
        <f t="shared" si="0"/>
        <v>0</v>
      </c>
    </row>
    <row r="16" spans="1:9" ht="12.75">
      <c r="A16" s="600" t="s">
        <v>896</v>
      </c>
      <c r="B16" s="600" t="s">
        <v>897</v>
      </c>
      <c r="C16" s="601">
        <v>16528835.1</v>
      </c>
      <c r="D16" s="601">
        <v>16528835.1</v>
      </c>
      <c r="E16" s="601">
        <v>0</v>
      </c>
      <c r="F16" s="601">
        <v>0</v>
      </c>
      <c r="G16" s="601">
        <v>0</v>
      </c>
      <c r="H16" s="601"/>
      <c r="I16" s="113">
        <f t="shared" si="0"/>
        <v>0</v>
      </c>
    </row>
    <row r="17" spans="1:9" ht="12.75">
      <c r="A17" s="600" t="s">
        <v>724</v>
      </c>
      <c r="B17" s="600" t="s">
        <v>725</v>
      </c>
      <c r="C17" s="601">
        <v>9219127.74</v>
      </c>
      <c r="D17" s="601">
        <v>9219127.74</v>
      </c>
      <c r="E17" s="601">
        <v>9210596.1</v>
      </c>
      <c r="F17" s="601">
        <v>9210596.1</v>
      </c>
      <c r="G17" s="601">
        <v>9210596.1</v>
      </c>
      <c r="H17" s="601"/>
      <c r="I17" s="113">
        <f t="shared" si="0"/>
        <v>0</v>
      </c>
    </row>
    <row r="18" spans="1:9" ht="12.75">
      <c r="A18" s="600" t="s">
        <v>726</v>
      </c>
      <c r="B18" s="600" t="s">
        <v>727</v>
      </c>
      <c r="C18" s="601">
        <v>9577872.61</v>
      </c>
      <c r="D18" s="601">
        <v>9577872.61</v>
      </c>
      <c r="E18" s="601">
        <v>9569328.94</v>
      </c>
      <c r="F18" s="601">
        <v>9569328.94</v>
      </c>
      <c r="G18" s="601">
        <v>9569328.94</v>
      </c>
      <c r="H18" s="601"/>
      <c r="I18" s="113">
        <f t="shared" si="0"/>
        <v>0</v>
      </c>
    </row>
    <row r="19" spans="1:9" ht="12.75">
      <c r="A19" s="600" t="s">
        <v>728</v>
      </c>
      <c r="B19" s="600" t="s">
        <v>729</v>
      </c>
      <c r="C19" s="601">
        <v>1256057.45</v>
      </c>
      <c r="D19" s="601">
        <v>1256057.45</v>
      </c>
      <c r="E19" s="601">
        <v>1255013.1</v>
      </c>
      <c r="F19" s="601">
        <v>1255013.1</v>
      </c>
      <c r="G19" s="601">
        <v>1255013.1</v>
      </c>
      <c r="H19" s="601"/>
      <c r="I19" s="113">
        <f t="shared" si="0"/>
        <v>0</v>
      </c>
    </row>
    <row r="20" spans="1:9" ht="12.75">
      <c r="A20" s="600" t="s">
        <v>730</v>
      </c>
      <c r="B20" s="613" t="s">
        <v>731</v>
      </c>
      <c r="C20" s="602">
        <v>278792.25</v>
      </c>
      <c r="D20" s="602">
        <v>278792.25</v>
      </c>
      <c r="E20" s="602">
        <v>278792.25</v>
      </c>
      <c r="F20" s="601">
        <v>278792.25</v>
      </c>
      <c r="G20" s="601">
        <v>248444.35</v>
      </c>
      <c r="H20" s="624">
        <f>E20+E21+E22</f>
        <v>8703592.67</v>
      </c>
      <c r="I20" s="113">
        <f t="shared" si="0"/>
        <v>30347.899999999994</v>
      </c>
    </row>
    <row r="21" spans="1:9" ht="12.75">
      <c r="A21" s="600" t="s">
        <v>732</v>
      </c>
      <c r="B21" s="613" t="s">
        <v>733</v>
      </c>
      <c r="C21" s="602">
        <v>6434389.15</v>
      </c>
      <c r="D21" s="602">
        <v>6434389.15</v>
      </c>
      <c r="E21" s="602">
        <v>6434389.15</v>
      </c>
      <c r="F21" s="601">
        <v>6434389.15</v>
      </c>
      <c r="G21" s="601">
        <v>5513254.17</v>
      </c>
      <c r="H21" s="601"/>
      <c r="I21" s="113">
        <f t="shared" si="0"/>
        <v>921134.9800000004</v>
      </c>
    </row>
    <row r="22" spans="1:9" ht="12.75">
      <c r="A22" s="600" t="s">
        <v>734</v>
      </c>
      <c r="B22" s="613" t="s">
        <v>735</v>
      </c>
      <c r="C22" s="602">
        <v>1990411.27</v>
      </c>
      <c r="D22" s="602">
        <v>1990411.27</v>
      </c>
      <c r="E22" s="602">
        <v>1990411.27</v>
      </c>
      <c r="F22" s="601">
        <v>1990411.27</v>
      </c>
      <c r="G22" s="601">
        <v>1745255.35</v>
      </c>
      <c r="H22" s="601"/>
      <c r="I22" s="113">
        <f t="shared" si="0"/>
        <v>245155.91999999993</v>
      </c>
    </row>
    <row r="23" spans="1:9" ht="12.75">
      <c r="A23" s="600" t="s">
        <v>736</v>
      </c>
      <c r="B23" s="610" t="s">
        <v>737</v>
      </c>
      <c r="C23" s="611">
        <v>4336025.59</v>
      </c>
      <c r="D23" s="611">
        <v>4281088.98</v>
      </c>
      <c r="E23" s="611">
        <v>4281088.98</v>
      </c>
      <c r="F23" s="601">
        <v>4281088.98</v>
      </c>
      <c r="G23" s="601">
        <v>4226153.37</v>
      </c>
      <c r="H23" s="625">
        <f>E23+E24+E25</f>
        <v>4387055.98</v>
      </c>
      <c r="I23" s="113">
        <f t="shared" si="0"/>
        <v>54935.610000000335</v>
      </c>
    </row>
    <row r="24" spans="1:9" ht="12.75">
      <c r="A24" s="600" t="s">
        <v>738</v>
      </c>
      <c r="B24" s="610" t="s">
        <v>739</v>
      </c>
      <c r="C24" s="611">
        <v>97717</v>
      </c>
      <c r="D24" s="611">
        <v>97717</v>
      </c>
      <c r="E24" s="611">
        <v>97717</v>
      </c>
      <c r="F24" s="601">
        <v>97717</v>
      </c>
      <c r="G24" s="601">
        <v>84838</v>
      </c>
      <c r="H24" s="601"/>
      <c r="I24" s="113">
        <f t="shared" si="0"/>
        <v>12879</v>
      </c>
    </row>
    <row r="25" spans="1:9" ht="12.75">
      <c r="A25" s="600" t="s">
        <v>740</v>
      </c>
      <c r="B25" s="610" t="s">
        <v>741</v>
      </c>
      <c r="C25" s="611">
        <v>8250</v>
      </c>
      <c r="D25" s="611">
        <v>8250</v>
      </c>
      <c r="E25" s="611">
        <v>8250</v>
      </c>
      <c r="F25" s="601">
        <v>8250</v>
      </c>
      <c r="G25" s="601">
        <v>3750</v>
      </c>
      <c r="H25" s="601"/>
      <c r="I25" s="113">
        <f t="shared" si="0"/>
        <v>4500</v>
      </c>
    </row>
    <row r="26" spans="1:9" ht="12.75">
      <c r="A26" s="600" t="s">
        <v>742</v>
      </c>
      <c r="B26" s="600" t="s">
        <v>743</v>
      </c>
      <c r="C26" s="601">
        <v>8050198.34</v>
      </c>
      <c r="D26" s="601">
        <v>8050198.34</v>
      </c>
      <c r="E26" s="601">
        <v>7909798.34</v>
      </c>
      <c r="F26" s="601">
        <v>7909798.34</v>
      </c>
      <c r="G26" s="601">
        <v>7909798.34</v>
      </c>
      <c r="H26" s="604">
        <f>E26+E27</f>
        <v>11853482.24</v>
      </c>
      <c r="I26" s="113">
        <f t="shared" si="0"/>
        <v>0</v>
      </c>
    </row>
    <row r="27" spans="1:9" ht="12.75">
      <c r="A27" s="600" t="s">
        <v>744</v>
      </c>
      <c r="B27" s="600" t="s">
        <v>745</v>
      </c>
      <c r="C27" s="601">
        <v>4047169.9</v>
      </c>
      <c r="D27" s="601">
        <v>4046933.9</v>
      </c>
      <c r="E27" s="601">
        <v>3943683.9</v>
      </c>
      <c r="F27" s="601">
        <v>3943683.9</v>
      </c>
      <c r="G27" s="601">
        <v>3410913.9</v>
      </c>
      <c r="H27" s="601"/>
      <c r="I27" s="113">
        <f t="shared" si="0"/>
        <v>532770</v>
      </c>
    </row>
    <row r="28" spans="1:9" ht="12.75">
      <c r="A28" s="600" t="s">
        <v>746</v>
      </c>
      <c r="B28" s="600" t="s">
        <v>747</v>
      </c>
      <c r="C28" s="601">
        <v>1251950.64</v>
      </c>
      <c r="D28" s="601">
        <v>1213616.64</v>
      </c>
      <c r="E28" s="601">
        <v>1190516.64</v>
      </c>
      <c r="F28" s="601">
        <v>1190516.64</v>
      </c>
      <c r="G28" s="601">
        <v>1190516.64</v>
      </c>
      <c r="H28" s="612">
        <f>E28+E29+5</f>
        <v>5057146.93</v>
      </c>
      <c r="I28" s="113">
        <f t="shared" si="0"/>
        <v>0</v>
      </c>
    </row>
    <row r="29" spans="1:9" ht="12.75">
      <c r="A29" s="600" t="s">
        <v>748</v>
      </c>
      <c r="B29" s="600" t="s">
        <v>749</v>
      </c>
      <c r="C29" s="601">
        <v>3866625.29</v>
      </c>
      <c r="D29" s="601">
        <v>3866625.29</v>
      </c>
      <c r="E29" s="601">
        <v>3866625.29</v>
      </c>
      <c r="F29" s="601">
        <v>3866625.29</v>
      </c>
      <c r="G29" s="601">
        <v>3866625.29</v>
      </c>
      <c r="H29" s="601"/>
      <c r="I29" s="113">
        <f t="shared" si="0"/>
        <v>0</v>
      </c>
    </row>
    <row r="30" spans="1:9" ht="12.75">
      <c r="A30" s="600" t="s">
        <v>750</v>
      </c>
      <c r="B30" s="600" t="s">
        <v>751</v>
      </c>
      <c r="C30" s="601">
        <v>2422483.36</v>
      </c>
      <c r="D30" s="601">
        <v>2405816.36</v>
      </c>
      <c r="E30" s="601">
        <v>2243016.36</v>
      </c>
      <c r="F30" s="601">
        <v>2243016.36</v>
      </c>
      <c r="G30" s="601">
        <v>2243016.36</v>
      </c>
      <c r="H30" s="606">
        <f>E30+E31+E32</f>
        <v>2247816.36</v>
      </c>
      <c r="I30" s="113">
        <f t="shared" si="0"/>
        <v>0</v>
      </c>
    </row>
    <row r="31" spans="1:9" ht="12.75">
      <c r="A31" s="600" t="s">
        <v>888</v>
      </c>
      <c r="B31" s="600" t="s">
        <v>889</v>
      </c>
      <c r="C31" s="601">
        <v>300</v>
      </c>
      <c r="D31" s="601">
        <v>300</v>
      </c>
      <c r="E31" s="601">
        <v>300</v>
      </c>
      <c r="F31" s="601">
        <v>300</v>
      </c>
      <c r="G31" s="601">
        <v>300</v>
      </c>
      <c r="H31" s="601"/>
      <c r="I31" s="113">
        <f t="shared" si="0"/>
        <v>0</v>
      </c>
    </row>
    <row r="32" spans="1:9" ht="12.75">
      <c r="A32" s="600" t="s">
        <v>752</v>
      </c>
      <c r="B32" s="600" t="s">
        <v>753</v>
      </c>
      <c r="C32" s="601">
        <v>4500</v>
      </c>
      <c r="D32" s="601">
        <v>4500</v>
      </c>
      <c r="E32" s="601">
        <v>4500</v>
      </c>
      <c r="F32" s="601">
        <v>4500</v>
      </c>
      <c r="G32" s="601">
        <v>4500</v>
      </c>
      <c r="H32" s="44" t="s">
        <v>898</v>
      </c>
      <c r="I32" s="113">
        <f t="shared" si="0"/>
        <v>0</v>
      </c>
    </row>
    <row r="33" spans="1:9" ht="12.75">
      <c r="A33" s="600" t="s">
        <v>754</v>
      </c>
      <c r="B33" s="600" t="s">
        <v>755</v>
      </c>
      <c r="C33" s="601">
        <v>10629977.42</v>
      </c>
      <c r="D33" s="601">
        <v>6425486.48</v>
      </c>
      <c r="E33" s="601">
        <v>6417763.28</v>
      </c>
      <c r="F33" s="601">
        <v>6417763.28</v>
      </c>
      <c r="G33" s="601">
        <v>6070334.51</v>
      </c>
      <c r="H33" s="601">
        <f>E33+E34+E35</f>
        <v>9093521.3</v>
      </c>
      <c r="I33" s="113">
        <f t="shared" si="0"/>
        <v>347428.7700000005</v>
      </c>
    </row>
    <row r="34" spans="1:9" ht="12.75">
      <c r="A34" s="600" t="s">
        <v>756</v>
      </c>
      <c r="B34" s="600" t="s">
        <v>757</v>
      </c>
      <c r="C34" s="601">
        <v>175230</v>
      </c>
      <c r="D34" s="601">
        <v>175230</v>
      </c>
      <c r="E34" s="601">
        <v>175230</v>
      </c>
      <c r="F34" s="601">
        <v>175230</v>
      </c>
      <c r="G34" s="601">
        <v>175230</v>
      </c>
      <c r="H34" s="601"/>
      <c r="I34" s="113">
        <f t="shared" si="0"/>
        <v>0</v>
      </c>
    </row>
    <row r="35" spans="1:9" ht="12.75">
      <c r="A35" s="600" t="s">
        <v>758</v>
      </c>
      <c r="B35" s="600" t="s">
        <v>759</v>
      </c>
      <c r="C35" s="601">
        <v>2679889.18</v>
      </c>
      <c r="D35" s="601">
        <v>2537928.38</v>
      </c>
      <c r="E35" s="601">
        <v>2500528.02</v>
      </c>
      <c r="F35" s="601">
        <v>2500528.02</v>
      </c>
      <c r="G35" s="601">
        <v>2216325.02</v>
      </c>
      <c r="H35" s="601"/>
      <c r="I35" s="113">
        <f t="shared" si="0"/>
        <v>284203</v>
      </c>
    </row>
    <row r="36" spans="1:9" ht="12.75">
      <c r="A36" s="600" t="s">
        <v>760</v>
      </c>
      <c r="B36" s="600" t="s">
        <v>761</v>
      </c>
      <c r="C36" s="601">
        <v>1512621.89</v>
      </c>
      <c r="D36" s="601">
        <v>1512621.89</v>
      </c>
      <c r="E36" s="601">
        <v>1512621.89</v>
      </c>
      <c r="F36" s="601">
        <v>1512621.89</v>
      </c>
      <c r="G36" s="601">
        <v>1512621.89</v>
      </c>
      <c r="H36" s="601">
        <f>G36</f>
        <v>1512621.89</v>
      </c>
      <c r="I36" s="113">
        <f t="shared" si="0"/>
        <v>0</v>
      </c>
    </row>
    <row r="37" spans="1:9" ht="12.75">
      <c r="A37" s="600" t="s">
        <v>762</v>
      </c>
      <c r="B37" s="600" t="s">
        <v>763</v>
      </c>
      <c r="C37" s="601">
        <v>872966.66</v>
      </c>
      <c r="D37" s="601">
        <v>633768.72</v>
      </c>
      <c r="E37" s="601">
        <v>633768.72</v>
      </c>
      <c r="F37" s="601">
        <v>633768.72</v>
      </c>
      <c r="G37" s="601">
        <v>633768.72</v>
      </c>
      <c r="H37" s="601">
        <f>E37+E38+E39+E40+E41</f>
        <v>2655635.9400000004</v>
      </c>
      <c r="I37" s="113">
        <f t="shared" si="0"/>
        <v>0</v>
      </c>
    </row>
    <row r="38" spans="1:9" ht="12.75">
      <c r="A38" s="600" t="s">
        <v>764</v>
      </c>
      <c r="B38" s="600" t="s">
        <v>765</v>
      </c>
      <c r="C38" s="601">
        <v>3626294.58</v>
      </c>
      <c r="D38" s="601">
        <v>3614478.58</v>
      </c>
      <c r="E38" s="601">
        <v>472728.58</v>
      </c>
      <c r="F38" s="601">
        <v>472728.58</v>
      </c>
      <c r="G38" s="601">
        <v>472728.58</v>
      </c>
      <c r="H38" s="601"/>
      <c r="I38" s="113">
        <f t="shared" si="0"/>
        <v>0</v>
      </c>
    </row>
    <row r="39" spans="1:9" ht="12.75">
      <c r="A39" s="600" t="s">
        <v>766</v>
      </c>
      <c r="B39" s="600" t="s">
        <v>767</v>
      </c>
      <c r="C39" s="601">
        <v>1181733.94</v>
      </c>
      <c r="D39" s="601">
        <v>1181733.94</v>
      </c>
      <c r="E39" s="601">
        <v>1181733.94</v>
      </c>
      <c r="F39" s="601">
        <v>19433.94</v>
      </c>
      <c r="G39" s="601">
        <v>19433.94</v>
      </c>
      <c r="H39" s="601"/>
      <c r="I39" s="113">
        <f t="shared" si="0"/>
        <v>1162300</v>
      </c>
    </row>
    <row r="40" spans="1:9" ht="12.75">
      <c r="A40" s="600" t="s">
        <v>768</v>
      </c>
      <c r="B40" s="600" t="s">
        <v>769</v>
      </c>
      <c r="C40" s="601">
        <v>474364.7</v>
      </c>
      <c r="D40" s="601">
        <v>460734.7</v>
      </c>
      <c r="E40" s="601">
        <v>300734.7</v>
      </c>
      <c r="F40" s="601">
        <v>300734.7</v>
      </c>
      <c r="G40" s="601">
        <v>263697.87</v>
      </c>
      <c r="H40" s="601"/>
      <c r="I40" s="113">
        <f t="shared" si="0"/>
        <v>37036.830000000016</v>
      </c>
    </row>
    <row r="41" spans="1:9" ht="12.75">
      <c r="A41" s="600" t="s">
        <v>770</v>
      </c>
      <c r="B41" s="600" t="s">
        <v>771</v>
      </c>
      <c r="C41" s="601">
        <v>66670</v>
      </c>
      <c r="D41" s="601">
        <v>66670</v>
      </c>
      <c r="E41" s="601">
        <v>66670</v>
      </c>
      <c r="F41" s="601">
        <v>66670</v>
      </c>
      <c r="G41" s="601">
        <v>0</v>
      </c>
      <c r="H41" s="601"/>
      <c r="I41" s="113">
        <f t="shared" si="0"/>
        <v>66670</v>
      </c>
    </row>
    <row r="42" spans="1:9" ht="12.75">
      <c r="A42" s="600" t="s">
        <v>772</v>
      </c>
      <c r="B42" s="600" t="s">
        <v>773</v>
      </c>
      <c r="C42" s="601">
        <v>51370.25</v>
      </c>
      <c r="D42" s="601">
        <v>50370.25</v>
      </c>
      <c r="E42" s="601">
        <v>50370.25</v>
      </c>
      <c r="F42" s="601">
        <v>50370.25</v>
      </c>
      <c r="G42" s="601">
        <v>50370.25</v>
      </c>
      <c r="H42" s="601"/>
      <c r="I42" s="113">
        <f t="shared" si="0"/>
        <v>0</v>
      </c>
    </row>
    <row r="43" spans="1:9" ht="12.75">
      <c r="A43" s="600" t="s">
        <v>774</v>
      </c>
      <c r="B43" s="600" t="s">
        <v>775</v>
      </c>
      <c r="C43" s="601">
        <v>119180</v>
      </c>
      <c r="D43" s="601">
        <v>119180</v>
      </c>
      <c r="E43" s="601">
        <v>119180</v>
      </c>
      <c r="F43" s="601">
        <v>119180</v>
      </c>
      <c r="G43" s="601">
        <v>119180</v>
      </c>
      <c r="H43" s="601"/>
      <c r="I43" s="113">
        <f t="shared" si="0"/>
        <v>0</v>
      </c>
    </row>
    <row r="44" spans="1:9" ht="12.75">
      <c r="A44" s="600" t="s">
        <v>776</v>
      </c>
      <c r="B44" s="600" t="s">
        <v>777</v>
      </c>
      <c r="C44" s="601">
        <v>5087491.94</v>
      </c>
      <c r="D44" s="601">
        <v>5074481.94</v>
      </c>
      <c r="E44" s="601">
        <v>4816193.94</v>
      </c>
      <c r="F44" s="601">
        <v>4816193.94</v>
      </c>
      <c r="G44" s="601">
        <v>4816193.94</v>
      </c>
      <c r="H44" s="601"/>
      <c r="I44" s="113">
        <f t="shared" si="0"/>
        <v>0</v>
      </c>
    </row>
    <row r="45" spans="1:9" ht="12.75">
      <c r="A45" s="600" t="s">
        <v>778</v>
      </c>
      <c r="B45" s="600" t="s">
        <v>779</v>
      </c>
      <c r="C45" s="601">
        <v>271666.67</v>
      </c>
      <c r="D45" s="601">
        <v>271666.67</v>
      </c>
      <c r="E45" s="601">
        <v>271666.67</v>
      </c>
      <c r="F45" s="601">
        <v>271666.67</v>
      </c>
      <c r="G45" s="601">
        <v>271666.67</v>
      </c>
      <c r="H45" s="601"/>
      <c r="I45" s="113">
        <f t="shared" si="0"/>
        <v>0</v>
      </c>
    </row>
    <row r="46" spans="1:9" ht="12.75">
      <c r="A46" s="600" t="s">
        <v>780</v>
      </c>
      <c r="B46" s="600" t="s">
        <v>781</v>
      </c>
      <c r="C46" s="601">
        <v>345150</v>
      </c>
      <c r="D46" s="601">
        <v>345150</v>
      </c>
      <c r="E46" s="601">
        <v>345150</v>
      </c>
      <c r="F46" s="601">
        <v>345150</v>
      </c>
      <c r="G46" s="601">
        <v>259600</v>
      </c>
      <c r="H46" s="601"/>
      <c r="I46" s="113">
        <f t="shared" si="0"/>
        <v>85550</v>
      </c>
    </row>
    <row r="47" spans="1:9" ht="12.75">
      <c r="A47" s="600" t="s">
        <v>782</v>
      </c>
      <c r="B47" s="600" t="s">
        <v>783</v>
      </c>
      <c r="C47" s="601">
        <v>702813.6</v>
      </c>
      <c r="D47" s="601">
        <v>702813.6</v>
      </c>
      <c r="E47" s="601">
        <v>603313.6</v>
      </c>
      <c r="F47" s="601">
        <v>603313.6</v>
      </c>
      <c r="G47" s="601">
        <v>603313.6</v>
      </c>
      <c r="H47" s="601"/>
      <c r="I47" s="113">
        <f t="shared" si="0"/>
        <v>0</v>
      </c>
    </row>
    <row r="48" spans="1:9" ht="12.75">
      <c r="A48" s="600" t="s">
        <v>784</v>
      </c>
      <c r="B48" s="600" t="s">
        <v>785</v>
      </c>
      <c r="C48" s="601">
        <v>1000350.9</v>
      </c>
      <c r="D48" s="601">
        <v>1000350.9</v>
      </c>
      <c r="E48" s="601">
        <v>1000350.9</v>
      </c>
      <c r="F48" s="601">
        <v>1000350.9</v>
      </c>
      <c r="G48" s="601">
        <v>1000350.9</v>
      </c>
      <c r="H48" s="601"/>
      <c r="I48" s="113">
        <f t="shared" si="0"/>
        <v>0</v>
      </c>
    </row>
    <row r="49" spans="1:9" ht="12.75">
      <c r="A49" s="600" t="s">
        <v>786</v>
      </c>
      <c r="B49" s="600" t="s">
        <v>787</v>
      </c>
      <c r="C49" s="601">
        <v>11572676.58</v>
      </c>
      <c r="D49" s="601">
        <v>10204176.42</v>
      </c>
      <c r="E49" s="601">
        <v>6823189.82</v>
      </c>
      <c r="F49" s="601">
        <v>6823189.82</v>
      </c>
      <c r="G49" s="601">
        <v>5923189.82</v>
      </c>
      <c r="H49" s="601"/>
      <c r="I49" s="113">
        <f t="shared" si="0"/>
        <v>900000</v>
      </c>
    </row>
    <row r="50" spans="1:9" ht="12.75">
      <c r="A50" s="600" t="s">
        <v>788</v>
      </c>
      <c r="B50" s="600" t="s">
        <v>789</v>
      </c>
      <c r="C50" s="601">
        <v>482257.07</v>
      </c>
      <c r="D50" s="601">
        <v>480757.07</v>
      </c>
      <c r="E50" s="601">
        <v>480757.07</v>
      </c>
      <c r="F50" s="601">
        <v>480757.07</v>
      </c>
      <c r="G50" s="601">
        <v>480757.07</v>
      </c>
      <c r="H50" s="601"/>
      <c r="I50" s="113">
        <f t="shared" si="0"/>
        <v>0</v>
      </c>
    </row>
    <row r="51" spans="1:9" ht="12.75">
      <c r="A51" s="600" t="s">
        <v>790</v>
      </c>
      <c r="B51" s="600" t="s">
        <v>791</v>
      </c>
      <c r="C51" s="601">
        <v>13262075.15</v>
      </c>
      <c r="D51" s="601">
        <v>12893135.47</v>
      </c>
      <c r="E51" s="601">
        <v>10527525.2</v>
      </c>
      <c r="F51" s="601">
        <v>10527525.2</v>
      </c>
      <c r="G51" s="601">
        <v>9458440.2</v>
      </c>
      <c r="H51" s="601">
        <f>E51+E52</f>
        <v>10658145.2</v>
      </c>
      <c r="I51" s="113">
        <f t="shared" si="0"/>
        <v>1069085</v>
      </c>
    </row>
    <row r="52" spans="1:9" ht="12.75">
      <c r="A52" s="600" t="s">
        <v>792</v>
      </c>
      <c r="B52" s="600" t="s">
        <v>793</v>
      </c>
      <c r="C52" s="601">
        <v>140060</v>
      </c>
      <c r="D52" s="601">
        <v>140060</v>
      </c>
      <c r="E52" s="601">
        <v>130620</v>
      </c>
      <c r="F52" s="601">
        <v>130620</v>
      </c>
      <c r="G52" s="601">
        <v>118820</v>
      </c>
      <c r="H52" s="601"/>
      <c r="I52" s="113">
        <f t="shared" si="0"/>
        <v>11800</v>
      </c>
    </row>
    <row r="53" spans="1:9" ht="12.75">
      <c r="A53" s="600" t="s">
        <v>794</v>
      </c>
      <c r="B53" s="600" t="s">
        <v>795</v>
      </c>
      <c r="C53" s="601">
        <v>47790</v>
      </c>
      <c r="D53" s="601">
        <v>42854.35</v>
      </c>
      <c r="E53" s="601">
        <v>42854.35</v>
      </c>
      <c r="F53" s="601">
        <v>42854.35</v>
      </c>
      <c r="G53" s="601">
        <v>0</v>
      </c>
      <c r="H53" s="601">
        <f>E53+E54+E55</f>
        <v>2305881.71</v>
      </c>
      <c r="I53" s="113">
        <f t="shared" si="0"/>
        <v>42854.35</v>
      </c>
    </row>
    <row r="54" spans="1:9" ht="12.75">
      <c r="A54" s="600" t="s">
        <v>796</v>
      </c>
      <c r="B54" s="600" t="s">
        <v>797</v>
      </c>
      <c r="C54" s="601">
        <v>100175</v>
      </c>
      <c r="D54" s="601">
        <v>100175</v>
      </c>
      <c r="E54" s="601">
        <v>100174.96</v>
      </c>
      <c r="F54" s="601">
        <v>100174.96</v>
      </c>
      <c r="G54" s="601">
        <v>675</v>
      </c>
      <c r="H54" s="601"/>
      <c r="I54" s="113">
        <f t="shared" si="0"/>
        <v>99499.96</v>
      </c>
    </row>
    <row r="55" spans="1:9" ht="12.75">
      <c r="A55" s="600" t="s">
        <v>798</v>
      </c>
      <c r="B55" s="600" t="s">
        <v>799</v>
      </c>
      <c r="C55" s="601">
        <v>2162853</v>
      </c>
      <c r="D55" s="601">
        <v>2162852.4</v>
      </c>
      <c r="E55" s="601">
        <v>2162852.4</v>
      </c>
      <c r="F55" s="601">
        <v>2162852.4</v>
      </c>
      <c r="G55" s="601">
        <v>1997853</v>
      </c>
      <c r="H55" s="601"/>
      <c r="I55" s="113">
        <f t="shared" si="0"/>
        <v>164999.3999999999</v>
      </c>
    </row>
    <row r="56" spans="1:9" ht="12.75">
      <c r="A56" s="600" t="s">
        <v>800</v>
      </c>
      <c r="B56" s="600" t="s">
        <v>801</v>
      </c>
      <c r="C56" s="601">
        <v>662323.14</v>
      </c>
      <c r="D56" s="601">
        <v>414728.58</v>
      </c>
      <c r="E56" s="601">
        <v>414728.58</v>
      </c>
      <c r="F56" s="601">
        <v>414728.58</v>
      </c>
      <c r="G56" s="601">
        <v>414728.58</v>
      </c>
      <c r="H56" s="601">
        <f>E56+E57+E58</f>
        <v>1642840.8</v>
      </c>
      <c r="I56" s="113">
        <f t="shared" si="0"/>
        <v>0</v>
      </c>
    </row>
    <row r="57" spans="1:9" ht="12.75">
      <c r="A57" s="600" t="s">
        <v>802</v>
      </c>
      <c r="B57" s="600" t="s">
        <v>803</v>
      </c>
      <c r="C57" s="601">
        <v>1208385.42</v>
      </c>
      <c r="D57" s="601">
        <v>1110927.22</v>
      </c>
      <c r="E57" s="601">
        <v>1110927.22</v>
      </c>
      <c r="F57" s="601">
        <v>1110927.22</v>
      </c>
      <c r="G57" s="601">
        <v>76161.62</v>
      </c>
      <c r="H57" s="601"/>
      <c r="I57" s="113">
        <f t="shared" si="0"/>
        <v>1034765.6</v>
      </c>
    </row>
    <row r="58" spans="1:9" ht="12.75">
      <c r="A58" s="600" t="s">
        <v>890</v>
      </c>
      <c r="B58" s="600" t="s">
        <v>891</v>
      </c>
      <c r="C58" s="601">
        <v>122656</v>
      </c>
      <c r="D58" s="601">
        <v>117185</v>
      </c>
      <c r="E58" s="601">
        <v>117185</v>
      </c>
      <c r="F58" s="601">
        <v>117185</v>
      </c>
      <c r="G58" s="601">
        <v>0</v>
      </c>
      <c r="H58" s="601"/>
      <c r="I58" s="113">
        <f t="shared" si="0"/>
        <v>117185</v>
      </c>
    </row>
    <row r="59" spans="1:9" ht="12.75">
      <c r="A59" s="600" t="s">
        <v>804</v>
      </c>
      <c r="B59" s="600" t="s">
        <v>805</v>
      </c>
      <c r="C59" s="601">
        <v>1232.87</v>
      </c>
      <c r="D59" s="601">
        <v>1232.87</v>
      </c>
      <c r="E59" s="601">
        <v>1232.87</v>
      </c>
      <c r="F59" s="601">
        <v>1232.87</v>
      </c>
      <c r="G59" s="601">
        <v>1232.87</v>
      </c>
      <c r="H59" s="601">
        <f>E59</f>
        <v>1232.87</v>
      </c>
      <c r="I59" s="113">
        <f t="shared" si="0"/>
        <v>0</v>
      </c>
    </row>
    <row r="60" spans="1:9" ht="12.75">
      <c r="A60" s="600" t="s">
        <v>806</v>
      </c>
      <c r="B60" s="600" t="s">
        <v>807</v>
      </c>
      <c r="C60" s="601">
        <v>293646.01</v>
      </c>
      <c r="D60" s="601">
        <v>291146.01</v>
      </c>
      <c r="E60" s="601">
        <v>245126.01</v>
      </c>
      <c r="F60" s="601">
        <v>245126.01</v>
      </c>
      <c r="G60" s="601">
        <v>245126.01</v>
      </c>
      <c r="H60" s="601">
        <f>E60+E61+E62</f>
        <v>1350487.29</v>
      </c>
      <c r="I60" s="113">
        <f t="shared" si="0"/>
        <v>0</v>
      </c>
    </row>
    <row r="61" spans="1:9" ht="12.75">
      <c r="A61" s="600" t="s">
        <v>808</v>
      </c>
      <c r="B61" s="600" t="s">
        <v>809</v>
      </c>
      <c r="C61" s="601">
        <v>3717</v>
      </c>
      <c r="D61" s="601">
        <v>3717</v>
      </c>
      <c r="E61" s="601">
        <v>3717</v>
      </c>
      <c r="F61" s="601">
        <v>3717</v>
      </c>
      <c r="G61" s="601">
        <v>3717</v>
      </c>
      <c r="H61" s="601"/>
      <c r="I61" s="113">
        <f t="shared" si="0"/>
        <v>0</v>
      </c>
    </row>
    <row r="62" spans="1:9" ht="12.75">
      <c r="A62" s="600" t="s">
        <v>810</v>
      </c>
      <c r="B62" s="600" t="s">
        <v>811</v>
      </c>
      <c r="C62" s="601">
        <v>1126471.28</v>
      </c>
      <c r="D62" s="601">
        <v>1101644.28</v>
      </c>
      <c r="E62" s="601">
        <v>1101644.28</v>
      </c>
      <c r="F62" s="601">
        <v>1101644.28</v>
      </c>
      <c r="G62" s="601">
        <v>681092.28</v>
      </c>
      <c r="H62" s="601"/>
      <c r="I62" s="113">
        <f t="shared" si="0"/>
        <v>420552</v>
      </c>
    </row>
    <row r="63" spans="1:9" ht="12.75">
      <c r="A63" s="600" t="s">
        <v>812</v>
      </c>
      <c r="B63" s="600" t="s">
        <v>813</v>
      </c>
      <c r="C63" s="601">
        <v>159117.01</v>
      </c>
      <c r="D63" s="601">
        <v>131472.98</v>
      </c>
      <c r="E63" s="601">
        <v>131472.98</v>
      </c>
      <c r="F63" s="601">
        <v>131472.98</v>
      </c>
      <c r="G63" s="601">
        <v>131472.98</v>
      </c>
      <c r="H63" s="601">
        <f>E63+E64</f>
        <v>430071.98</v>
      </c>
      <c r="I63" s="113">
        <f t="shared" si="0"/>
        <v>0</v>
      </c>
    </row>
    <row r="64" spans="1:9" ht="12.75">
      <c r="A64" s="600" t="s">
        <v>814</v>
      </c>
      <c r="B64" s="600" t="s">
        <v>815</v>
      </c>
      <c r="C64" s="601">
        <v>298599</v>
      </c>
      <c r="D64" s="601">
        <v>298599</v>
      </c>
      <c r="E64" s="601">
        <v>298599</v>
      </c>
      <c r="F64" s="601">
        <v>298599</v>
      </c>
      <c r="G64" s="601">
        <v>298599</v>
      </c>
      <c r="H64" s="601"/>
      <c r="I64" s="113">
        <f t="shared" si="0"/>
        <v>0</v>
      </c>
    </row>
    <row r="65" spans="1:9" ht="12.75">
      <c r="A65" s="600" t="s">
        <v>816</v>
      </c>
      <c r="B65" s="600" t="s">
        <v>817</v>
      </c>
      <c r="C65" s="601">
        <v>7972723</v>
      </c>
      <c r="D65" s="601">
        <v>7972723</v>
      </c>
      <c r="E65" s="601">
        <v>5785723</v>
      </c>
      <c r="F65" s="601">
        <v>5785723</v>
      </c>
      <c r="G65" s="601">
        <v>5690723</v>
      </c>
      <c r="H65" s="601">
        <f>E65+E66+E67</f>
        <v>5863594.18</v>
      </c>
      <c r="I65" s="113">
        <f t="shared" si="0"/>
        <v>95000</v>
      </c>
    </row>
    <row r="66" spans="1:9" ht="12.75">
      <c r="A66" s="600" t="s">
        <v>818</v>
      </c>
      <c r="B66" s="600" t="s">
        <v>819</v>
      </c>
      <c r="C66" s="601">
        <v>15098.5</v>
      </c>
      <c r="D66" s="601">
        <v>12598.5</v>
      </c>
      <c r="E66" s="601">
        <v>12598.5</v>
      </c>
      <c r="F66" s="601">
        <v>12598.5</v>
      </c>
      <c r="G66" s="601">
        <v>12598.5</v>
      </c>
      <c r="H66" s="601"/>
      <c r="I66" s="113">
        <f t="shared" si="0"/>
        <v>0</v>
      </c>
    </row>
    <row r="67" spans="1:9" ht="12.75">
      <c r="A67" s="600" t="s">
        <v>820</v>
      </c>
      <c r="B67" s="600" t="s">
        <v>821</v>
      </c>
      <c r="C67" s="601">
        <v>75450.26</v>
      </c>
      <c r="D67" s="601">
        <v>65272.68</v>
      </c>
      <c r="E67" s="601">
        <v>65272.68</v>
      </c>
      <c r="F67" s="601">
        <v>65272.68</v>
      </c>
      <c r="G67" s="601">
        <v>65272.68</v>
      </c>
      <c r="H67" s="601"/>
      <c r="I67" s="113">
        <f t="shared" si="0"/>
        <v>0</v>
      </c>
    </row>
    <row r="68" spans="1:9" ht="12.75">
      <c r="A68" s="600" t="s">
        <v>822</v>
      </c>
      <c r="B68" s="600" t="s">
        <v>823</v>
      </c>
      <c r="C68" s="601">
        <v>4451</v>
      </c>
      <c r="D68" s="601">
        <v>3951</v>
      </c>
      <c r="E68" s="601">
        <v>3951</v>
      </c>
      <c r="F68" s="601">
        <v>3951</v>
      </c>
      <c r="G68" s="601">
        <v>3951</v>
      </c>
      <c r="H68" s="601"/>
      <c r="I68" s="113">
        <f t="shared" si="0"/>
        <v>0</v>
      </c>
    </row>
    <row r="69" spans="1:9" ht="12.75">
      <c r="A69" s="600" t="s">
        <v>824</v>
      </c>
      <c r="B69" s="600" t="s">
        <v>825</v>
      </c>
      <c r="C69" s="601">
        <v>306362</v>
      </c>
      <c r="D69" s="601">
        <v>305362</v>
      </c>
      <c r="E69" s="601">
        <v>305362</v>
      </c>
      <c r="F69" s="601">
        <v>305362</v>
      </c>
      <c r="G69" s="601">
        <v>137586.35</v>
      </c>
      <c r="H69" s="601"/>
      <c r="I69" s="113">
        <f t="shared" si="0"/>
        <v>167775.65</v>
      </c>
    </row>
    <row r="70" spans="1:9" ht="12.75">
      <c r="A70" s="600" t="s">
        <v>826</v>
      </c>
      <c r="B70" s="600" t="s">
        <v>827</v>
      </c>
      <c r="C70" s="601">
        <v>1692951.87</v>
      </c>
      <c r="D70" s="601">
        <v>1425879.12</v>
      </c>
      <c r="E70" s="601">
        <v>1402279.12</v>
      </c>
      <c r="F70" s="601">
        <v>1402279.12</v>
      </c>
      <c r="G70" s="601">
        <v>1397559.12</v>
      </c>
      <c r="H70" s="601"/>
      <c r="I70" s="113">
        <f t="shared" si="0"/>
        <v>4720</v>
      </c>
    </row>
    <row r="71" spans="1:9" ht="12.75">
      <c r="A71" s="600" t="s">
        <v>828</v>
      </c>
      <c r="B71" s="600" t="s">
        <v>829</v>
      </c>
      <c r="C71" s="601">
        <v>183000</v>
      </c>
      <c r="D71" s="601">
        <v>44977.59</v>
      </c>
      <c r="E71" s="601">
        <v>44977.59</v>
      </c>
      <c r="F71" s="601">
        <v>44977.59</v>
      </c>
      <c r="G71" s="601">
        <v>0</v>
      </c>
      <c r="H71" s="601">
        <f>E69+E70+E71+E72+E73+E74+E75+E76</f>
        <v>11279310.26</v>
      </c>
      <c r="I71" s="113">
        <f t="shared" si="0"/>
        <v>44977.59</v>
      </c>
    </row>
    <row r="72" spans="1:9" ht="12.75">
      <c r="A72" s="600" t="s">
        <v>830</v>
      </c>
      <c r="B72" s="600" t="s">
        <v>831</v>
      </c>
      <c r="C72" s="601">
        <v>859.95</v>
      </c>
      <c r="D72" s="601">
        <v>859.95</v>
      </c>
      <c r="E72" s="601">
        <v>859.95</v>
      </c>
      <c r="F72" s="601">
        <v>859.95</v>
      </c>
      <c r="G72" s="601">
        <v>859.95</v>
      </c>
      <c r="H72" s="601"/>
      <c r="I72" s="113">
        <f t="shared" si="0"/>
        <v>0</v>
      </c>
    </row>
    <row r="73" spans="1:9" ht="12.75">
      <c r="A73" s="600" t="s">
        <v>832</v>
      </c>
      <c r="B73" s="600" t="s">
        <v>833</v>
      </c>
      <c r="C73" s="601">
        <v>240026.97</v>
      </c>
      <c r="D73" s="601">
        <v>231035.05</v>
      </c>
      <c r="E73" s="601">
        <v>231035.05</v>
      </c>
      <c r="F73" s="601">
        <v>231035.05</v>
      </c>
      <c r="G73" s="601">
        <v>231035.05</v>
      </c>
      <c r="H73" s="601"/>
      <c r="I73" s="113">
        <f t="shared" si="0"/>
        <v>0</v>
      </c>
    </row>
    <row r="74" spans="1:9" ht="12.75">
      <c r="A74" s="600" t="s">
        <v>834</v>
      </c>
      <c r="B74" s="600" t="s">
        <v>835</v>
      </c>
      <c r="C74" s="601">
        <v>174165.95</v>
      </c>
      <c r="D74" s="601">
        <v>171165.95</v>
      </c>
      <c r="E74" s="601">
        <v>158659.75</v>
      </c>
      <c r="F74" s="601">
        <v>158659.75</v>
      </c>
      <c r="G74" s="601">
        <v>158659.75</v>
      </c>
      <c r="H74" s="601"/>
      <c r="I74" s="113">
        <f t="shared" si="0"/>
        <v>0</v>
      </c>
    </row>
    <row r="75" spans="1:9" ht="12.75">
      <c r="A75" s="600" t="s">
        <v>836</v>
      </c>
      <c r="B75" s="600" t="s">
        <v>837</v>
      </c>
      <c r="C75" s="601">
        <v>912186.8</v>
      </c>
      <c r="D75" s="601">
        <v>901177.78</v>
      </c>
      <c r="E75" s="601">
        <v>636136.8</v>
      </c>
      <c r="F75" s="601">
        <v>636136.8</v>
      </c>
      <c r="G75" s="601">
        <v>636136.8</v>
      </c>
      <c r="H75" s="601"/>
      <c r="I75" s="113">
        <f aca="true" t="shared" si="1" ref="I75:I89">E75-G75</f>
        <v>0</v>
      </c>
    </row>
    <row r="76" spans="1:9" ht="12.75">
      <c r="A76" s="600" t="s">
        <v>838</v>
      </c>
      <c r="B76" s="600" t="s">
        <v>839</v>
      </c>
      <c r="C76" s="601">
        <v>8500000</v>
      </c>
      <c r="D76" s="601">
        <v>8500000</v>
      </c>
      <c r="E76" s="601">
        <v>8500000</v>
      </c>
      <c r="F76" s="601">
        <v>8500000</v>
      </c>
      <c r="G76" s="601">
        <v>8000000</v>
      </c>
      <c r="H76" s="601"/>
      <c r="I76" s="113">
        <f t="shared" si="1"/>
        <v>500000</v>
      </c>
    </row>
    <row r="77" spans="1:9" ht="12.75">
      <c r="A77" s="600" t="s">
        <v>840</v>
      </c>
      <c r="B77" s="600" t="s">
        <v>841</v>
      </c>
      <c r="C77" s="601">
        <v>1300000</v>
      </c>
      <c r="D77" s="601">
        <v>1300000</v>
      </c>
      <c r="E77" s="601">
        <v>1300000</v>
      </c>
      <c r="F77" s="601">
        <v>1300000</v>
      </c>
      <c r="G77" s="601">
        <v>1300000</v>
      </c>
      <c r="H77" s="601"/>
      <c r="I77" s="113">
        <f t="shared" si="1"/>
        <v>0</v>
      </c>
    </row>
    <row r="78" spans="1:9" ht="12.75">
      <c r="A78" s="600" t="s">
        <v>842</v>
      </c>
      <c r="B78" s="600" t="s">
        <v>843</v>
      </c>
      <c r="C78" s="601">
        <v>25626666.72</v>
      </c>
      <c r="D78" s="601">
        <v>25626666.72</v>
      </c>
      <c r="E78" s="601">
        <v>25626666.72</v>
      </c>
      <c r="F78" s="601">
        <v>25626666.72</v>
      </c>
      <c r="G78" s="601">
        <v>25626666.72</v>
      </c>
      <c r="H78" s="601"/>
      <c r="I78" s="113">
        <f t="shared" si="1"/>
        <v>0</v>
      </c>
    </row>
    <row r="79" spans="1:9" ht="12.75">
      <c r="A79" s="600" t="s">
        <v>844</v>
      </c>
      <c r="B79" s="600" t="s">
        <v>845</v>
      </c>
      <c r="C79" s="601">
        <v>739500</v>
      </c>
      <c r="D79" s="601">
        <v>739500</v>
      </c>
      <c r="E79" s="601">
        <v>739500</v>
      </c>
      <c r="F79" s="601">
        <v>739500</v>
      </c>
      <c r="G79" s="601">
        <v>739500</v>
      </c>
      <c r="H79" s="601"/>
      <c r="I79" s="113">
        <f t="shared" si="1"/>
        <v>0</v>
      </c>
    </row>
    <row r="80" spans="1:9" ht="12.75">
      <c r="A80" s="600" t="s">
        <v>846</v>
      </c>
      <c r="B80" s="600" t="s">
        <v>847</v>
      </c>
      <c r="C80" s="601">
        <v>35467218</v>
      </c>
      <c r="D80" s="601">
        <v>35467218</v>
      </c>
      <c r="E80" s="601">
        <v>35467218</v>
      </c>
      <c r="F80" s="601">
        <v>35467218</v>
      </c>
      <c r="G80" s="601">
        <v>33294218</v>
      </c>
      <c r="H80" s="601"/>
      <c r="I80" s="113">
        <f t="shared" si="1"/>
        <v>2173000</v>
      </c>
    </row>
    <row r="81" spans="1:9" ht="12.75">
      <c r="A81" s="600" t="s">
        <v>848</v>
      </c>
      <c r="B81" s="600" t="s">
        <v>849</v>
      </c>
      <c r="C81" s="601">
        <v>2221587.21</v>
      </c>
      <c r="D81" s="601">
        <v>2210921.86</v>
      </c>
      <c r="E81" s="601">
        <v>94587.21</v>
      </c>
      <c r="F81" s="601">
        <v>94587.21</v>
      </c>
      <c r="G81" s="601">
        <v>94587.21</v>
      </c>
      <c r="H81" s="601"/>
      <c r="I81" s="113">
        <f t="shared" si="1"/>
        <v>0</v>
      </c>
    </row>
    <row r="82" spans="1:9" ht="12.75">
      <c r="A82" s="600" t="s">
        <v>850</v>
      </c>
      <c r="B82" s="600" t="s">
        <v>851</v>
      </c>
      <c r="C82" s="601">
        <v>6580991</v>
      </c>
      <c r="D82" s="601">
        <v>3532849.06</v>
      </c>
      <c r="E82" s="601">
        <v>3532849.06</v>
      </c>
      <c r="F82" s="601">
        <v>3532849.06</v>
      </c>
      <c r="G82" s="601">
        <v>3532849.06</v>
      </c>
      <c r="H82" s="601"/>
      <c r="I82" s="113">
        <f t="shared" si="1"/>
        <v>0</v>
      </c>
    </row>
    <row r="83" spans="1:9" ht="12.75">
      <c r="A83" s="600" t="s">
        <v>852</v>
      </c>
      <c r="B83" s="600" t="s">
        <v>853</v>
      </c>
      <c r="C83" s="601">
        <v>1990510</v>
      </c>
      <c r="D83" s="601">
        <v>1990510</v>
      </c>
      <c r="E83" s="601">
        <v>1990509.92</v>
      </c>
      <c r="F83" s="601">
        <v>1990509.92</v>
      </c>
      <c r="G83" s="601">
        <v>1990509.92</v>
      </c>
      <c r="H83" s="601"/>
      <c r="I83" s="113">
        <f t="shared" si="1"/>
        <v>0</v>
      </c>
    </row>
    <row r="84" spans="1:9" ht="12.75">
      <c r="A84" s="600" t="s">
        <v>854</v>
      </c>
      <c r="B84" s="600" t="s">
        <v>855</v>
      </c>
      <c r="C84" s="601">
        <v>118404.93</v>
      </c>
      <c r="D84" s="601">
        <v>118404.93</v>
      </c>
      <c r="E84" s="601">
        <v>118404.93</v>
      </c>
      <c r="F84" s="601">
        <v>118404.93</v>
      </c>
      <c r="G84" s="601">
        <v>118404.93</v>
      </c>
      <c r="H84" s="601"/>
      <c r="I84" s="113">
        <f t="shared" si="1"/>
        <v>0</v>
      </c>
    </row>
    <row r="85" spans="1:9" ht="12.75">
      <c r="A85" s="600" t="s">
        <v>856</v>
      </c>
      <c r="B85" s="600" t="s">
        <v>857</v>
      </c>
      <c r="C85" s="601">
        <v>350000</v>
      </c>
      <c r="D85" s="601">
        <v>340548</v>
      </c>
      <c r="E85" s="601">
        <v>0</v>
      </c>
      <c r="F85" s="601">
        <v>0</v>
      </c>
      <c r="G85" s="601">
        <v>0</v>
      </c>
      <c r="H85" s="601"/>
      <c r="I85" s="113">
        <f t="shared" si="1"/>
        <v>0</v>
      </c>
    </row>
    <row r="86" spans="1:9" ht="12.75">
      <c r="A86" s="600" t="s">
        <v>858</v>
      </c>
      <c r="B86" s="600" t="s">
        <v>859</v>
      </c>
      <c r="C86" s="601">
        <v>11412088</v>
      </c>
      <c r="D86" s="601">
        <v>0</v>
      </c>
      <c r="E86" s="601">
        <v>0</v>
      </c>
      <c r="F86" s="601">
        <v>0</v>
      </c>
      <c r="G86" s="601">
        <v>0</v>
      </c>
      <c r="H86" s="601"/>
      <c r="I86" s="113">
        <f t="shared" si="1"/>
        <v>0</v>
      </c>
    </row>
    <row r="87" spans="1:9" ht="12.75">
      <c r="A87" s="600" t="s">
        <v>860</v>
      </c>
      <c r="B87" s="600" t="s">
        <v>861</v>
      </c>
      <c r="C87" s="601">
        <v>74281</v>
      </c>
      <c r="D87" s="601">
        <v>74281</v>
      </c>
      <c r="E87" s="601">
        <v>74281</v>
      </c>
      <c r="F87" s="601">
        <v>74281</v>
      </c>
      <c r="G87" s="601">
        <v>74281</v>
      </c>
      <c r="H87" s="601"/>
      <c r="I87" s="113">
        <f t="shared" si="1"/>
        <v>0</v>
      </c>
    </row>
    <row r="88" spans="1:9" ht="12.75">
      <c r="A88" s="600" t="s">
        <v>862</v>
      </c>
      <c r="B88" s="600" t="s">
        <v>863</v>
      </c>
      <c r="C88" s="601">
        <v>61360</v>
      </c>
      <c r="D88" s="601">
        <v>61360</v>
      </c>
      <c r="E88" s="601">
        <v>61360</v>
      </c>
      <c r="F88" s="601">
        <v>61360</v>
      </c>
      <c r="G88" s="601">
        <v>61360</v>
      </c>
      <c r="H88" s="601"/>
      <c r="I88" s="113">
        <f t="shared" si="1"/>
        <v>0</v>
      </c>
    </row>
    <row r="89" spans="1:9" ht="12.75">
      <c r="A89" s="600" t="s">
        <v>864</v>
      </c>
      <c r="B89" s="600" t="s">
        <v>865</v>
      </c>
      <c r="C89" s="601">
        <v>250000</v>
      </c>
      <c r="D89" s="601">
        <v>199160.4</v>
      </c>
      <c r="E89" s="601">
        <v>199160.4</v>
      </c>
      <c r="F89" s="601">
        <v>199160.4</v>
      </c>
      <c r="G89" s="601">
        <v>199160.4</v>
      </c>
      <c r="H89" s="601"/>
      <c r="I89" s="113">
        <f t="shared" si="1"/>
        <v>0</v>
      </c>
    </row>
    <row r="90" spans="1:9" ht="12.75">
      <c r="A90" s="55"/>
      <c r="B90" s="55"/>
      <c r="C90" s="397">
        <f>SUM(C10:C89)</f>
        <v>381572859.0999999</v>
      </c>
      <c r="D90" s="397">
        <f>SUM(D10:D89)</f>
        <v>358646748.3599999</v>
      </c>
      <c r="E90" s="397">
        <f>SUM(E10:E89)</f>
        <v>326431661.92999995</v>
      </c>
      <c r="F90" s="397">
        <f>SUM(F10:F89)</f>
        <v>325269361.92999995</v>
      </c>
      <c r="G90" s="397">
        <f>SUM(G10:G89)</f>
        <v>315800535.3699999</v>
      </c>
      <c r="H90" s="397"/>
      <c r="I90" s="113">
        <f>SUM(I10:I89)</f>
        <v>10631126.56</v>
      </c>
    </row>
    <row r="91" spans="1:9" ht="12.75">
      <c r="A91" s="55"/>
      <c r="B91" s="55"/>
      <c r="C91" s="55"/>
      <c r="D91" s="55"/>
      <c r="E91" s="55"/>
      <c r="F91" s="55"/>
      <c r="G91" s="55"/>
      <c r="H91" s="55"/>
      <c r="I91" s="55"/>
    </row>
  </sheetData>
  <sheetProtection/>
  <mergeCells count="1">
    <mergeCell ref="A7:H7"/>
  </mergeCells>
  <printOptions/>
  <pageMargins left="0.7086614173228347" right="0.7086614173228347" top="0.7480314960629921" bottom="0.7480314960629921" header="0.31496062992125984" footer="0.31496062992125984"/>
  <pageSetup orientation="landscape" scale="90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9:K92"/>
  <sheetViews>
    <sheetView zoomScalePageLayoutView="0" workbookViewId="0" topLeftCell="A1">
      <selection activeCell="H6" sqref="H6"/>
    </sheetView>
  </sheetViews>
  <sheetFormatPr defaultColWidth="11.421875" defaultRowHeight="12.75"/>
  <cols>
    <col min="2" max="2" width="27.421875" style="0" customWidth="1"/>
    <col min="3" max="3" width="19.00390625" style="0" customWidth="1"/>
    <col min="4" max="4" width="21.00390625" style="0" customWidth="1"/>
    <col min="5" max="5" width="15.7109375" style="0" customWidth="1"/>
    <col min="6" max="7" width="14.8515625" style="0" customWidth="1"/>
    <col min="8" max="8" width="13.7109375" style="0" customWidth="1"/>
    <col min="9" max="9" width="14.28125" style="0" customWidth="1"/>
    <col min="11" max="11" width="14.421875" style="0" customWidth="1"/>
  </cols>
  <sheetData>
    <row r="9" ht="12.75">
      <c r="C9" t="s">
        <v>154</v>
      </c>
    </row>
    <row r="10" spans="1:11" ht="15.75">
      <c r="A10" s="621" t="s">
        <v>705</v>
      </c>
      <c r="B10" s="621" t="s">
        <v>706</v>
      </c>
      <c r="C10" s="621" t="s">
        <v>707</v>
      </c>
      <c r="D10" s="621" t="s">
        <v>708</v>
      </c>
      <c r="E10" s="621" t="s">
        <v>709</v>
      </c>
      <c r="F10" s="621" t="s">
        <v>710</v>
      </c>
      <c r="G10" s="621" t="s">
        <v>711</v>
      </c>
      <c r="H10" s="623"/>
      <c r="I10" s="623"/>
      <c r="J10" s="623"/>
      <c r="K10" s="623"/>
    </row>
    <row r="11" spans="1:11" ht="12.75">
      <c r="A11" s="600" t="s">
        <v>712</v>
      </c>
      <c r="B11" s="600" t="s">
        <v>713</v>
      </c>
      <c r="C11" s="601">
        <v>149710614.96</v>
      </c>
      <c r="D11" s="601">
        <v>149710614.96</v>
      </c>
      <c r="E11" s="601">
        <v>148393615.12</v>
      </c>
      <c r="F11" s="601">
        <v>148393615.12</v>
      </c>
      <c r="G11" s="601">
        <v>148393615.12</v>
      </c>
      <c r="H11" s="113">
        <f>E11-G11</f>
        <v>0</v>
      </c>
      <c r="I11" s="55"/>
      <c r="J11" s="55"/>
      <c r="K11" s="55"/>
    </row>
    <row r="12" spans="1:11" ht="12.75">
      <c r="A12" s="600" t="s">
        <v>714</v>
      </c>
      <c r="B12" s="600" t="s">
        <v>715</v>
      </c>
      <c r="C12" s="601">
        <v>4979000</v>
      </c>
      <c r="D12" s="601">
        <v>3911000</v>
      </c>
      <c r="E12" s="601">
        <v>3850000</v>
      </c>
      <c r="F12" s="601">
        <v>3850000</v>
      </c>
      <c r="G12" s="601">
        <v>3850000</v>
      </c>
      <c r="H12" s="113">
        <f aca="true" t="shared" si="0" ref="H12:H75">E12-G12</f>
        <v>0</v>
      </c>
      <c r="I12" s="55"/>
      <c r="J12" s="55"/>
      <c r="K12" s="55"/>
    </row>
    <row r="13" spans="1:11" ht="12.75">
      <c r="A13" s="600" t="s">
        <v>716</v>
      </c>
      <c r="B13" s="600" t="s">
        <v>717</v>
      </c>
      <c r="C13" s="601">
        <v>81499.89</v>
      </c>
      <c r="D13" s="601">
        <v>81499.89</v>
      </c>
      <c r="E13" s="601">
        <v>0</v>
      </c>
      <c r="F13" s="601">
        <v>0</v>
      </c>
      <c r="G13" s="601">
        <v>0</v>
      </c>
      <c r="H13" s="113">
        <f t="shared" si="0"/>
        <v>0</v>
      </c>
      <c r="I13" s="55"/>
      <c r="J13" s="55"/>
      <c r="K13" s="55"/>
    </row>
    <row r="14" spans="1:11" ht="12.75">
      <c r="A14" s="600" t="s">
        <v>718</v>
      </c>
      <c r="B14" s="600" t="s">
        <v>719</v>
      </c>
      <c r="C14" s="601">
        <v>4366200</v>
      </c>
      <c r="D14" s="601">
        <v>4366200</v>
      </c>
      <c r="E14" s="601">
        <v>4244200</v>
      </c>
      <c r="F14" s="601">
        <v>4244200</v>
      </c>
      <c r="G14" s="601">
        <v>4244200</v>
      </c>
      <c r="H14" s="113">
        <f t="shared" si="0"/>
        <v>0</v>
      </c>
      <c r="I14" s="55"/>
      <c r="J14" s="55"/>
      <c r="K14" s="55"/>
    </row>
    <row r="15" spans="1:11" ht="12.75">
      <c r="A15" s="600" t="s">
        <v>720</v>
      </c>
      <c r="B15" s="600" t="s">
        <v>721</v>
      </c>
      <c r="C15" s="601">
        <v>614000.94</v>
      </c>
      <c r="D15" s="601">
        <v>614000.94</v>
      </c>
      <c r="E15" s="601">
        <v>600710.68</v>
      </c>
      <c r="F15" s="601">
        <v>600710.68</v>
      </c>
      <c r="G15" s="601">
        <v>600710.68</v>
      </c>
      <c r="H15" s="113">
        <f t="shared" si="0"/>
        <v>0</v>
      </c>
      <c r="I15" s="55"/>
      <c r="J15" s="55"/>
      <c r="K15" s="55"/>
    </row>
    <row r="16" spans="1:11" ht="12.75">
      <c r="A16" s="600" t="s">
        <v>722</v>
      </c>
      <c r="B16" s="600" t="s">
        <v>723</v>
      </c>
      <c r="C16" s="601">
        <v>4653000</v>
      </c>
      <c r="D16" s="601">
        <v>4653000</v>
      </c>
      <c r="E16" s="601">
        <v>4653000</v>
      </c>
      <c r="F16" s="601">
        <v>4653000</v>
      </c>
      <c r="G16" s="601">
        <v>4653000</v>
      </c>
      <c r="H16" s="113">
        <f t="shared" si="0"/>
        <v>0</v>
      </c>
      <c r="I16" s="55"/>
      <c r="J16" s="55"/>
      <c r="K16" s="55"/>
    </row>
    <row r="17" spans="1:11" ht="12.75">
      <c r="A17" s="600" t="s">
        <v>896</v>
      </c>
      <c r="B17" s="600" t="s">
        <v>897</v>
      </c>
      <c r="C17" s="601">
        <v>16944635.1</v>
      </c>
      <c r="D17" s="601">
        <v>16944635.1</v>
      </c>
      <c r="E17" s="601">
        <v>16315135.1</v>
      </c>
      <c r="F17" s="601">
        <v>16315135.1</v>
      </c>
      <c r="G17" s="601">
        <v>16315135.1</v>
      </c>
      <c r="H17" s="113">
        <f t="shared" si="0"/>
        <v>0</v>
      </c>
      <c r="I17" s="55"/>
      <c r="J17" s="55"/>
      <c r="K17" s="55"/>
    </row>
    <row r="18" spans="1:11" ht="12.75">
      <c r="A18" s="600" t="s">
        <v>724</v>
      </c>
      <c r="B18" s="600" t="s">
        <v>725</v>
      </c>
      <c r="C18" s="601">
        <v>10471037.45</v>
      </c>
      <c r="D18" s="601">
        <v>10471037.45</v>
      </c>
      <c r="E18" s="601">
        <v>10373335.87</v>
      </c>
      <c r="F18" s="601">
        <v>10373335.87</v>
      </c>
      <c r="G18" s="601">
        <v>10373335.87</v>
      </c>
      <c r="H18" s="113">
        <f t="shared" si="0"/>
        <v>0</v>
      </c>
      <c r="I18" s="55"/>
      <c r="J18" s="55"/>
      <c r="K18" s="55"/>
    </row>
    <row r="19" spans="1:11" ht="12.75">
      <c r="A19" s="600" t="s">
        <v>726</v>
      </c>
      <c r="B19" s="600" t="s">
        <v>727</v>
      </c>
      <c r="C19" s="601">
        <v>10874764.41</v>
      </c>
      <c r="D19" s="601">
        <v>10874764.41</v>
      </c>
      <c r="E19" s="601">
        <v>10776926.42</v>
      </c>
      <c r="F19" s="601">
        <v>10776926.42</v>
      </c>
      <c r="G19" s="601">
        <v>10776926.42</v>
      </c>
      <c r="H19" s="113">
        <f t="shared" si="0"/>
        <v>0</v>
      </c>
      <c r="I19" s="55"/>
      <c r="J19" s="55"/>
      <c r="K19" s="55"/>
    </row>
    <row r="20" spans="1:11" ht="12.75">
      <c r="A20" s="600" t="s">
        <v>728</v>
      </c>
      <c r="B20" s="600" t="s">
        <v>729</v>
      </c>
      <c r="C20" s="601">
        <v>1421894.36</v>
      </c>
      <c r="D20" s="601">
        <v>1421894.36</v>
      </c>
      <c r="E20" s="601">
        <v>1411324.35</v>
      </c>
      <c r="F20" s="601">
        <v>1411324.35</v>
      </c>
      <c r="G20" s="601">
        <v>1411324.35</v>
      </c>
      <c r="H20" s="113">
        <f t="shared" si="0"/>
        <v>0</v>
      </c>
      <c r="I20" s="55"/>
      <c r="J20" s="55"/>
      <c r="K20" s="55"/>
    </row>
    <row r="21" spans="1:11" ht="12.75">
      <c r="A21" s="600" t="s">
        <v>730</v>
      </c>
      <c r="B21" s="613" t="s">
        <v>731</v>
      </c>
      <c r="C21" s="602">
        <v>310200.57</v>
      </c>
      <c r="D21" s="602">
        <v>310200.57</v>
      </c>
      <c r="E21" s="602">
        <v>310200.57</v>
      </c>
      <c r="F21" s="602">
        <v>310200.57</v>
      </c>
      <c r="G21" s="602">
        <v>278792.25</v>
      </c>
      <c r="H21" s="626">
        <f t="shared" si="0"/>
        <v>31408.320000000007</v>
      </c>
      <c r="I21" s="626">
        <f>E21+E22+E23</f>
        <v>9997597.68</v>
      </c>
      <c r="J21" s="627" t="s">
        <v>900</v>
      </c>
      <c r="K21" s="55"/>
    </row>
    <row r="22" spans="1:11" ht="12.75">
      <c r="A22" s="600" t="s">
        <v>732</v>
      </c>
      <c r="B22" s="613" t="s">
        <v>733</v>
      </c>
      <c r="C22" s="602">
        <v>7446302.97</v>
      </c>
      <c r="D22" s="602">
        <v>7446302.97</v>
      </c>
      <c r="E22" s="602">
        <v>7446302.97</v>
      </c>
      <c r="F22" s="602">
        <v>7446302.97</v>
      </c>
      <c r="G22" s="602">
        <v>6434389.15</v>
      </c>
      <c r="H22" s="626">
        <f t="shared" si="0"/>
        <v>1011913.8199999994</v>
      </c>
      <c r="I22" s="55"/>
      <c r="J22" s="55"/>
      <c r="K22" s="55"/>
    </row>
    <row r="23" spans="1:11" ht="12.75">
      <c r="A23" s="600" t="s">
        <v>734</v>
      </c>
      <c r="B23" s="613" t="s">
        <v>735</v>
      </c>
      <c r="C23" s="602">
        <v>2241094.14</v>
      </c>
      <c r="D23" s="602">
        <v>2241094.14</v>
      </c>
      <c r="E23" s="602">
        <v>2241094.14</v>
      </c>
      <c r="F23" s="602">
        <v>2241094.14</v>
      </c>
      <c r="G23" s="602">
        <v>1990411.27</v>
      </c>
      <c r="H23" s="626">
        <f t="shared" si="0"/>
        <v>250682.8700000001</v>
      </c>
      <c r="I23" s="55"/>
      <c r="J23" s="55"/>
      <c r="K23" s="55"/>
    </row>
    <row r="24" spans="1:11" ht="12.75">
      <c r="A24" s="600" t="s">
        <v>736</v>
      </c>
      <c r="B24" s="628" t="s">
        <v>737</v>
      </c>
      <c r="C24" s="629">
        <v>4963468.47</v>
      </c>
      <c r="D24" s="629">
        <v>4908531.86</v>
      </c>
      <c r="E24" s="629">
        <v>4908531.86</v>
      </c>
      <c r="F24" s="629">
        <v>4908531.86</v>
      </c>
      <c r="G24" s="629">
        <v>4908531.86</v>
      </c>
      <c r="H24" s="630">
        <f t="shared" si="0"/>
        <v>0</v>
      </c>
      <c r="I24" s="630">
        <f>E24+E25+E26</f>
        <v>5026701.86</v>
      </c>
      <c r="J24" s="631" t="s">
        <v>901</v>
      </c>
      <c r="K24" s="55"/>
    </row>
    <row r="25" spans="1:11" ht="12.75">
      <c r="A25" s="600" t="s">
        <v>738</v>
      </c>
      <c r="B25" s="628" t="s">
        <v>739</v>
      </c>
      <c r="C25" s="629">
        <v>122123</v>
      </c>
      <c r="D25" s="629">
        <v>122123</v>
      </c>
      <c r="E25" s="629">
        <v>109920</v>
      </c>
      <c r="F25" s="629">
        <v>109920</v>
      </c>
      <c r="G25" s="629">
        <v>97717</v>
      </c>
      <c r="H25" s="630">
        <f t="shared" si="0"/>
        <v>12203</v>
      </c>
      <c r="I25" s="55"/>
      <c r="J25" s="55"/>
      <c r="K25" s="55"/>
    </row>
    <row r="26" spans="1:11" ht="12.75">
      <c r="A26" s="600" t="s">
        <v>740</v>
      </c>
      <c r="B26" s="628" t="s">
        <v>741</v>
      </c>
      <c r="C26" s="629">
        <v>8250</v>
      </c>
      <c r="D26" s="629">
        <v>8250</v>
      </c>
      <c r="E26" s="629">
        <v>8250</v>
      </c>
      <c r="F26" s="629">
        <v>8250</v>
      </c>
      <c r="G26" s="629">
        <v>6750</v>
      </c>
      <c r="H26" s="630">
        <f t="shared" si="0"/>
        <v>1500</v>
      </c>
      <c r="I26" s="55"/>
      <c r="J26" s="55"/>
      <c r="K26" s="55"/>
    </row>
    <row r="27" spans="1:11" ht="12.75">
      <c r="A27" s="600" t="s">
        <v>742</v>
      </c>
      <c r="B27" s="632" t="s">
        <v>743</v>
      </c>
      <c r="C27" s="604">
        <v>8170196.34</v>
      </c>
      <c r="D27" s="604">
        <v>8170196.34</v>
      </c>
      <c r="E27" s="604">
        <v>8029796.34</v>
      </c>
      <c r="F27" s="604">
        <v>8029796.34</v>
      </c>
      <c r="G27" s="604">
        <v>7909798.34</v>
      </c>
      <c r="H27" s="605">
        <f t="shared" si="0"/>
        <v>119998</v>
      </c>
      <c r="I27" s="605">
        <f>E27+E28</f>
        <v>12390020.24</v>
      </c>
      <c r="J27" s="633" t="s">
        <v>902</v>
      </c>
      <c r="K27" s="634"/>
    </row>
    <row r="28" spans="1:11" ht="12.75">
      <c r="A28" s="600" t="s">
        <v>744</v>
      </c>
      <c r="B28" s="632" t="s">
        <v>745</v>
      </c>
      <c r="C28" s="604">
        <v>4416509.9</v>
      </c>
      <c r="D28" s="604">
        <v>4416273.9</v>
      </c>
      <c r="E28" s="604">
        <v>4360223.9</v>
      </c>
      <c r="F28" s="604">
        <v>4360223.9</v>
      </c>
      <c r="G28" s="604">
        <v>4156083.9</v>
      </c>
      <c r="H28" s="605">
        <f t="shared" si="0"/>
        <v>204140.00000000047</v>
      </c>
      <c r="I28" s="55"/>
      <c r="J28" s="55"/>
      <c r="K28" s="55"/>
    </row>
    <row r="29" spans="1:11" ht="12.75">
      <c r="A29" s="600" t="s">
        <v>746</v>
      </c>
      <c r="B29" s="616" t="s">
        <v>747</v>
      </c>
      <c r="C29" s="606">
        <v>1783800.64</v>
      </c>
      <c r="D29" s="606">
        <v>1745466.64</v>
      </c>
      <c r="E29" s="606">
        <v>1207616.64</v>
      </c>
      <c r="F29" s="606">
        <v>1207616.64</v>
      </c>
      <c r="G29" s="606">
        <v>1190516.64</v>
      </c>
      <c r="H29" s="635">
        <f t="shared" si="0"/>
        <v>17100</v>
      </c>
      <c r="I29" s="635">
        <f>E29+E30</f>
        <v>5074241.93</v>
      </c>
      <c r="J29" s="350" t="s">
        <v>623</v>
      </c>
      <c r="K29" s="55"/>
    </row>
    <row r="30" spans="1:11" ht="12.75">
      <c r="A30" s="600" t="s">
        <v>748</v>
      </c>
      <c r="B30" s="616" t="s">
        <v>749</v>
      </c>
      <c r="C30" s="606">
        <v>3866625.29</v>
      </c>
      <c r="D30" s="606">
        <v>3866625.29</v>
      </c>
      <c r="E30" s="606">
        <v>3866625.29</v>
      </c>
      <c r="F30" s="606">
        <v>3866625.29</v>
      </c>
      <c r="G30" s="606">
        <v>3866625.29</v>
      </c>
      <c r="H30" s="635">
        <f t="shared" si="0"/>
        <v>0</v>
      </c>
      <c r="I30" s="55"/>
      <c r="J30" s="55"/>
      <c r="K30" s="55"/>
    </row>
    <row r="31" spans="1:11" ht="12.75">
      <c r="A31" s="600" t="s">
        <v>750</v>
      </c>
      <c r="B31" s="617" t="s">
        <v>751</v>
      </c>
      <c r="C31" s="607">
        <v>2422483.36</v>
      </c>
      <c r="D31" s="607">
        <v>2405816.36</v>
      </c>
      <c r="E31" s="607">
        <v>2324016.36</v>
      </c>
      <c r="F31" s="607">
        <v>2324016.36</v>
      </c>
      <c r="G31" s="607">
        <v>2243016.36</v>
      </c>
      <c r="H31" s="636">
        <f t="shared" si="0"/>
        <v>81000</v>
      </c>
      <c r="I31" s="636">
        <f>E31+E32+E33</f>
        <v>2328816.36</v>
      </c>
      <c r="J31" s="637" t="s">
        <v>903</v>
      </c>
      <c r="K31" s="638"/>
    </row>
    <row r="32" spans="1:11" ht="12.75">
      <c r="A32" s="600" t="s">
        <v>888</v>
      </c>
      <c r="B32" s="617" t="s">
        <v>889</v>
      </c>
      <c r="C32" s="607">
        <v>300</v>
      </c>
      <c r="D32" s="607">
        <v>300</v>
      </c>
      <c r="E32" s="607">
        <v>300</v>
      </c>
      <c r="F32" s="607">
        <v>300</v>
      </c>
      <c r="G32" s="607">
        <v>300</v>
      </c>
      <c r="H32" s="636">
        <f t="shared" si="0"/>
        <v>0</v>
      </c>
      <c r="I32" s="55"/>
      <c r="J32" s="55"/>
      <c r="K32" s="55"/>
    </row>
    <row r="33" spans="1:11" ht="12.75">
      <c r="A33" s="600" t="s">
        <v>752</v>
      </c>
      <c r="B33" s="617" t="s">
        <v>753</v>
      </c>
      <c r="C33" s="607">
        <v>4500</v>
      </c>
      <c r="D33" s="607">
        <v>4500</v>
      </c>
      <c r="E33" s="607">
        <v>4500</v>
      </c>
      <c r="F33" s="607">
        <v>4500</v>
      </c>
      <c r="G33" s="607">
        <v>4500</v>
      </c>
      <c r="H33" s="636">
        <f t="shared" si="0"/>
        <v>0</v>
      </c>
      <c r="I33" s="55"/>
      <c r="J33" s="55"/>
      <c r="K33" s="55"/>
    </row>
    <row r="34" spans="1:11" ht="12.75">
      <c r="A34" s="600" t="s">
        <v>754</v>
      </c>
      <c r="B34" s="639" t="s">
        <v>755</v>
      </c>
      <c r="C34" s="608">
        <v>11428380.23</v>
      </c>
      <c r="D34" s="608">
        <v>7462166.49</v>
      </c>
      <c r="E34" s="608">
        <v>7454443.29</v>
      </c>
      <c r="F34" s="608">
        <v>7385231.29</v>
      </c>
      <c r="G34" s="608">
        <v>7197591.53</v>
      </c>
      <c r="H34" s="640">
        <f t="shared" si="0"/>
        <v>256851.75999999978</v>
      </c>
      <c r="I34" s="640">
        <f>E34+E35+E36+E37</f>
        <v>10247218.96</v>
      </c>
      <c r="J34" s="641" t="s">
        <v>893</v>
      </c>
      <c r="K34" s="55"/>
    </row>
    <row r="35" spans="1:11" ht="12.75">
      <c r="A35" s="600" t="s">
        <v>904</v>
      </c>
      <c r="B35" s="639" t="s">
        <v>905</v>
      </c>
      <c r="C35" s="608">
        <v>505000</v>
      </c>
      <c r="D35" s="608">
        <v>488443.3</v>
      </c>
      <c r="E35" s="608">
        <v>0</v>
      </c>
      <c r="F35" s="608">
        <v>0</v>
      </c>
      <c r="G35" s="608">
        <v>0</v>
      </c>
      <c r="H35" s="640">
        <f t="shared" si="0"/>
        <v>0</v>
      </c>
      <c r="I35" s="55"/>
      <c r="J35" s="55"/>
      <c r="K35" s="55"/>
    </row>
    <row r="36" spans="1:11" ht="12.75">
      <c r="A36" s="600" t="s">
        <v>756</v>
      </c>
      <c r="B36" s="639" t="s">
        <v>757</v>
      </c>
      <c r="C36" s="608">
        <v>175230</v>
      </c>
      <c r="D36" s="608">
        <v>175230</v>
      </c>
      <c r="E36" s="608">
        <v>175230</v>
      </c>
      <c r="F36" s="608">
        <v>175230</v>
      </c>
      <c r="G36" s="608">
        <v>175230</v>
      </c>
      <c r="H36" s="640">
        <f t="shared" si="0"/>
        <v>0</v>
      </c>
      <c r="I36" s="55"/>
      <c r="J36" s="55"/>
      <c r="K36" s="55"/>
    </row>
    <row r="37" spans="1:11" ht="12.75">
      <c r="A37" s="600" t="s">
        <v>758</v>
      </c>
      <c r="B37" s="639" t="s">
        <v>759</v>
      </c>
      <c r="C37" s="608">
        <v>3015576.43</v>
      </c>
      <c r="D37" s="608">
        <v>2965959.63</v>
      </c>
      <c r="E37" s="608">
        <v>2617545.67</v>
      </c>
      <c r="F37" s="608">
        <v>2617545.67</v>
      </c>
      <c r="G37" s="608">
        <v>2529228.57</v>
      </c>
      <c r="H37" s="640">
        <f t="shared" si="0"/>
        <v>88317.1000000001</v>
      </c>
      <c r="I37" s="55"/>
      <c r="J37" s="55"/>
      <c r="K37" s="55"/>
    </row>
    <row r="38" spans="1:11" ht="12.75">
      <c r="A38" s="600" t="s">
        <v>760</v>
      </c>
      <c r="B38" s="642" t="s">
        <v>761</v>
      </c>
      <c r="C38" s="643">
        <v>1512621.89</v>
      </c>
      <c r="D38" s="643">
        <v>1512621.89</v>
      </c>
      <c r="E38" s="643">
        <v>1512621.89</v>
      </c>
      <c r="F38" s="643">
        <v>1512621.89</v>
      </c>
      <c r="G38" s="643">
        <v>1512621.89</v>
      </c>
      <c r="H38" s="644">
        <f t="shared" si="0"/>
        <v>0</v>
      </c>
      <c r="I38" s="645">
        <f>E38</f>
        <v>1512621.89</v>
      </c>
      <c r="J38" s="646" t="s">
        <v>17</v>
      </c>
      <c r="K38" s="55"/>
    </row>
    <row r="39" spans="1:11" ht="12.75">
      <c r="A39" s="600" t="s">
        <v>762</v>
      </c>
      <c r="B39" s="647" t="s">
        <v>763</v>
      </c>
      <c r="C39" s="648">
        <v>912966.66</v>
      </c>
      <c r="D39" s="648">
        <v>673768.72</v>
      </c>
      <c r="E39" s="648">
        <v>673768.72</v>
      </c>
      <c r="F39" s="648">
        <v>673768.72</v>
      </c>
      <c r="G39" s="648">
        <v>673768.72</v>
      </c>
      <c r="H39" s="649">
        <f t="shared" si="0"/>
        <v>0</v>
      </c>
      <c r="I39" s="649">
        <f>E39+E40+E41+E42+E43</f>
        <v>1539235.94</v>
      </c>
      <c r="J39" s="650" t="s">
        <v>906</v>
      </c>
      <c r="K39" s="55"/>
    </row>
    <row r="40" spans="1:11" ht="12.75">
      <c r="A40" s="600" t="s">
        <v>764</v>
      </c>
      <c r="B40" s="647" t="s">
        <v>765</v>
      </c>
      <c r="C40" s="648">
        <v>3626294.58</v>
      </c>
      <c r="D40" s="648">
        <v>3614478.58</v>
      </c>
      <c r="E40" s="648">
        <v>472728.58</v>
      </c>
      <c r="F40" s="648">
        <v>472728.58</v>
      </c>
      <c r="G40" s="648">
        <v>472728.58</v>
      </c>
      <c r="H40" s="649">
        <f t="shared" si="0"/>
        <v>0</v>
      </c>
      <c r="I40" s="55"/>
      <c r="J40" s="55"/>
      <c r="K40" s="55"/>
    </row>
    <row r="41" spans="1:11" ht="12.75">
      <c r="A41" s="600" t="s">
        <v>766</v>
      </c>
      <c r="B41" s="647" t="s">
        <v>767</v>
      </c>
      <c r="C41" s="648">
        <v>19433.94</v>
      </c>
      <c r="D41" s="648">
        <v>19433.94</v>
      </c>
      <c r="E41" s="648">
        <v>19433.94</v>
      </c>
      <c r="F41" s="648">
        <v>19433.94</v>
      </c>
      <c r="G41" s="648">
        <v>19433.94</v>
      </c>
      <c r="H41" s="649">
        <f t="shared" si="0"/>
        <v>0</v>
      </c>
      <c r="I41" s="55"/>
      <c r="J41" s="55"/>
      <c r="K41" s="55"/>
    </row>
    <row r="42" spans="1:11" ht="12.75">
      <c r="A42" s="600" t="s">
        <v>768</v>
      </c>
      <c r="B42" s="647" t="s">
        <v>769</v>
      </c>
      <c r="C42" s="648">
        <v>480264.7</v>
      </c>
      <c r="D42" s="648">
        <v>466634.7</v>
      </c>
      <c r="E42" s="648">
        <v>306634.7</v>
      </c>
      <c r="F42" s="648">
        <v>306634.7</v>
      </c>
      <c r="G42" s="648">
        <v>269597.87</v>
      </c>
      <c r="H42" s="649">
        <f t="shared" si="0"/>
        <v>37036.830000000016</v>
      </c>
      <c r="I42" s="55"/>
      <c r="J42" s="55"/>
      <c r="K42" s="55"/>
    </row>
    <row r="43" spans="1:11" ht="12.75">
      <c r="A43" s="600" t="s">
        <v>770</v>
      </c>
      <c r="B43" s="647" t="s">
        <v>771</v>
      </c>
      <c r="C43" s="648">
        <v>66670</v>
      </c>
      <c r="D43" s="648">
        <v>66670</v>
      </c>
      <c r="E43" s="648">
        <v>66670</v>
      </c>
      <c r="F43" s="648">
        <v>66670</v>
      </c>
      <c r="G43" s="648">
        <v>0</v>
      </c>
      <c r="H43" s="649">
        <f t="shared" si="0"/>
        <v>66670</v>
      </c>
      <c r="I43" s="55"/>
      <c r="J43" s="55"/>
      <c r="K43" s="55"/>
    </row>
    <row r="44" spans="1:11" ht="12.75">
      <c r="A44" s="600" t="s">
        <v>772</v>
      </c>
      <c r="B44" s="651" t="s">
        <v>773</v>
      </c>
      <c r="C44" s="603">
        <v>51370.25</v>
      </c>
      <c r="D44" s="603">
        <v>50370.25</v>
      </c>
      <c r="E44" s="603">
        <v>50370.25</v>
      </c>
      <c r="F44" s="603">
        <v>50370.25</v>
      </c>
      <c r="G44" s="603">
        <v>50370.25</v>
      </c>
      <c r="H44" s="113">
        <f t="shared" si="0"/>
        <v>0</v>
      </c>
      <c r="I44" s="55"/>
      <c r="J44" s="55"/>
      <c r="K44" s="55"/>
    </row>
    <row r="45" spans="1:11" ht="12.75">
      <c r="A45" s="600" t="s">
        <v>774</v>
      </c>
      <c r="B45" s="651" t="s">
        <v>775</v>
      </c>
      <c r="C45" s="603">
        <v>119180</v>
      </c>
      <c r="D45" s="603">
        <v>119180</v>
      </c>
      <c r="E45" s="603">
        <v>119180</v>
      </c>
      <c r="F45" s="603">
        <v>119180</v>
      </c>
      <c r="G45" s="603">
        <v>119180</v>
      </c>
      <c r="H45" s="113">
        <f t="shared" si="0"/>
        <v>0</v>
      </c>
      <c r="I45" s="55"/>
      <c r="J45" s="55"/>
      <c r="K45" s="55"/>
    </row>
    <row r="46" spans="1:11" ht="12.75">
      <c r="A46" s="613" t="s">
        <v>776</v>
      </c>
      <c r="B46" s="613" t="s">
        <v>777</v>
      </c>
      <c r="C46" s="602">
        <v>5345779.94</v>
      </c>
      <c r="D46" s="602">
        <v>5332769.94</v>
      </c>
      <c r="E46" s="602">
        <v>5074481.94</v>
      </c>
      <c r="F46" s="602">
        <v>5074481.94</v>
      </c>
      <c r="G46" s="602">
        <v>5074481.94</v>
      </c>
      <c r="H46" s="626">
        <f t="shared" si="0"/>
        <v>0</v>
      </c>
      <c r="I46" s="626">
        <f>E46+E47</f>
        <v>5346148.61</v>
      </c>
      <c r="J46" s="627" t="s">
        <v>907</v>
      </c>
      <c r="K46" s="652"/>
    </row>
    <row r="47" spans="1:11" ht="12.75">
      <c r="A47" s="613" t="s">
        <v>778</v>
      </c>
      <c r="B47" s="613" t="s">
        <v>779</v>
      </c>
      <c r="C47" s="602">
        <v>271666.67</v>
      </c>
      <c r="D47" s="602">
        <v>271666.67</v>
      </c>
      <c r="E47" s="602">
        <v>271666.67</v>
      </c>
      <c r="F47" s="602">
        <v>271666.67</v>
      </c>
      <c r="G47" s="602">
        <v>271666.67</v>
      </c>
      <c r="H47" s="626">
        <f t="shared" si="0"/>
        <v>0</v>
      </c>
      <c r="I47" s="55"/>
      <c r="J47" s="55"/>
      <c r="K47" s="55"/>
    </row>
    <row r="48" spans="1:11" ht="12.75">
      <c r="A48" s="653" t="s">
        <v>780</v>
      </c>
      <c r="B48" s="653" t="s">
        <v>781</v>
      </c>
      <c r="C48" s="654">
        <v>413000</v>
      </c>
      <c r="D48" s="654">
        <v>413000</v>
      </c>
      <c r="E48" s="654">
        <v>345150</v>
      </c>
      <c r="F48" s="654">
        <v>345150</v>
      </c>
      <c r="G48" s="654">
        <v>345150</v>
      </c>
      <c r="H48" s="655">
        <f t="shared" si="0"/>
        <v>0</v>
      </c>
      <c r="I48" s="655">
        <f>E48+E49+E50+E51</f>
        <v>9169937.72</v>
      </c>
      <c r="J48" s="656" t="s">
        <v>908</v>
      </c>
      <c r="K48" s="55"/>
    </row>
    <row r="49" spans="1:11" ht="12.75">
      <c r="A49" s="653" t="s">
        <v>782</v>
      </c>
      <c r="B49" s="653" t="s">
        <v>783</v>
      </c>
      <c r="C49" s="654">
        <v>777057.5</v>
      </c>
      <c r="D49" s="654">
        <v>777057.5</v>
      </c>
      <c r="E49" s="654">
        <v>610287</v>
      </c>
      <c r="F49" s="654">
        <v>610287</v>
      </c>
      <c r="G49" s="654">
        <v>610287</v>
      </c>
      <c r="H49" s="655">
        <f t="shared" si="0"/>
        <v>0</v>
      </c>
      <c r="I49" s="657"/>
      <c r="J49" s="55"/>
      <c r="K49" s="55"/>
    </row>
    <row r="50" spans="1:11" ht="12.75">
      <c r="A50" s="653" t="s">
        <v>784</v>
      </c>
      <c r="B50" s="653" t="s">
        <v>785</v>
      </c>
      <c r="C50" s="654">
        <v>1000350.9</v>
      </c>
      <c r="D50" s="654">
        <v>1000350.9</v>
      </c>
      <c r="E50" s="654">
        <v>1000350.9</v>
      </c>
      <c r="F50" s="654">
        <v>1000350.9</v>
      </c>
      <c r="G50" s="654">
        <v>1000350.9</v>
      </c>
      <c r="H50" s="655">
        <f t="shared" si="0"/>
        <v>0</v>
      </c>
      <c r="I50" s="657"/>
      <c r="J50" s="55"/>
      <c r="K50" s="55"/>
    </row>
    <row r="51" spans="1:11" ht="12.75">
      <c r="A51" s="653" t="s">
        <v>786</v>
      </c>
      <c r="B51" s="653" t="s">
        <v>787</v>
      </c>
      <c r="C51" s="654">
        <v>12401596.58</v>
      </c>
      <c r="D51" s="654">
        <v>10536136.42</v>
      </c>
      <c r="E51" s="654">
        <v>7214149.82</v>
      </c>
      <c r="F51" s="654">
        <v>7214149.82</v>
      </c>
      <c r="G51" s="654">
        <v>7070189.82</v>
      </c>
      <c r="H51" s="655">
        <f t="shared" si="0"/>
        <v>143960</v>
      </c>
      <c r="I51" s="657"/>
      <c r="J51" s="55"/>
      <c r="K51" s="55"/>
    </row>
    <row r="52" spans="1:11" ht="12.75">
      <c r="A52" s="651" t="s">
        <v>788</v>
      </c>
      <c r="B52" s="651" t="s">
        <v>789</v>
      </c>
      <c r="C52" s="603">
        <v>482257.07</v>
      </c>
      <c r="D52" s="603">
        <v>480757.07</v>
      </c>
      <c r="E52" s="603">
        <v>480757.07</v>
      </c>
      <c r="F52" s="603">
        <v>480757.07</v>
      </c>
      <c r="G52" s="603">
        <v>480757.07</v>
      </c>
      <c r="H52" s="658">
        <f t="shared" si="0"/>
        <v>0</v>
      </c>
      <c r="I52" s="658">
        <f>E44+E45+E52</f>
        <v>650307.3200000001</v>
      </c>
      <c r="J52" s="659" t="s">
        <v>873</v>
      </c>
      <c r="K52" s="55"/>
    </row>
    <row r="53" spans="1:11" ht="12.75">
      <c r="A53" s="617" t="s">
        <v>790</v>
      </c>
      <c r="B53" s="617" t="s">
        <v>791</v>
      </c>
      <c r="C53" s="607">
        <v>13818627.75</v>
      </c>
      <c r="D53" s="607">
        <v>13695706.07</v>
      </c>
      <c r="E53" s="607">
        <v>12094105.6</v>
      </c>
      <c r="F53" s="607">
        <v>12094105.6</v>
      </c>
      <c r="G53" s="607">
        <v>11695781.1</v>
      </c>
      <c r="H53" s="636">
        <f t="shared" si="0"/>
        <v>398324.5</v>
      </c>
      <c r="I53" s="55"/>
      <c r="J53" s="55"/>
      <c r="K53" s="55"/>
    </row>
    <row r="54" spans="1:11" ht="12.75">
      <c r="A54" s="617" t="s">
        <v>792</v>
      </c>
      <c r="B54" s="617" t="s">
        <v>793</v>
      </c>
      <c r="C54" s="607">
        <v>161300</v>
      </c>
      <c r="D54" s="607">
        <v>161300</v>
      </c>
      <c r="E54" s="607">
        <v>140060</v>
      </c>
      <c r="F54" s="607">
        <v>140060</v>
      </c>
      <c r="G54" s="607">
        <v>140060</v>
      </c>
      <c r="H54" s="636">
        <f t="shared" si="0"/>
        <v>0</v>
      </c>
      <c r="I54" s="636">
        <f>E53+E54</f>
        <v>12234165.6</v>
      </c>
      <c r="J54" s="637" t="s">
        <v>627</v>
      </c>
      <c r="K54" s="638"/>
    </row>
    <row r="55" spans="1:11" ht="12.75">
      <c r="A55" s="600" t="s">
        <v>794</v>
      </c>
      <c r="B55" s="632" t="s">
        <v>795</v>
      </c>
      <c r="C55" s="604">
        <v>47790</v>
      </c>
      <c r="D55" s="604">
        <v>42854.35</v>
      </c>
      <c r="E55" s="604">
        <v>42854.35</v>
      </c>
      <c r="F55" s="604">
        <v>42854.35</v>
      </c>
      <c r="G55" s="604">
        <v>42854.35</v>
      </c>
      <c r="H55" s="113">
        <f t="shared" si="0"/>
        <v>0</v>
      </c>
      <c r="I55" s="55"/>
      <c r="J55" s="55"/>
      <c r="K55" s="55"/>
    </row>
    <row r="56" spans="1:11" ht="12.75">
      <c r="A56" s="600" t="s">
        <v>796</v>
      </c>
      <c r="B56" s="632" t="s">
        <v>797</v>
      </c>
      <c r="C56" s="604">
        <v>100175</v>
      </c>
      <c r="D56" s="604">
        <v>100175</v>
      </c>
      <c r="E56" s="604">
        <v>100174.96</v>
      </c>
      <c r="F56" s="604">
        <v>100174.96</v>
      </c>
      <c r="G56" s="604">
        <v>100174.96</v>
      </c>
      <c r="H56" s="113">
        <f t="shared" si="0"/>
        <v>0</v>
      </c>
      <c r="I56" s="55"/>
      <c r="J56" s="55"/>
      <c r="K56" s="55"/>
    </row>
    <row r="57" spans="1:11" ht="12.75">
      <c r="A57" s="600" t="s">
        <v>798</v>
      </c>
      <c r="B57" s="632" t="s">
        <v>799</v>
      </c>
      <c r="C57" s="604">
        <v>2294276.68</v>
      </c>
      <c r="D57" s="604">
        <v>2294276.08</v>
      </c>
      <c r="E57" s="604">
        <v>2279672.4</v>
      </c>
      <c r="F57" s="604">
        <v>2279672.4</v>
      </c>
      <c r="G57" s="604">
        <v>2279672.4</v>
      </c>
      <c r="H57" s="113">
        <f t="shared" si="0"/>
        <v>0</v>
      </c>
      <c r="I57" s="605">
        <f>E55+E56+E57</f>
        <v>2422701.71</v>
      </c>
      <c r="J57" s="633" t="s">
        <v>909</v>
      </c>
      <c r="K57" s="55"/>
    </row>
    <row r="58" spans="1:11" ht="12.75">
      <c r="A58" s="600" t="s">
        <v>800</v>
      </c>
      <c r="B58" s="616" t="s">
        <v>801</v>
      </c>
      <c r="C58" s="606">
        <v>726218.16</v>
      </c>
      <c r="D58" s="606">
        <v>547714.58</v>
      </c>
      <c r="E58" s="606">
        <v>414728.58</v>
      </c>
      <c r="F58" s="606">
        <v>414728.58</v>
      </c>
      <c r="G58" s="606">
        <v>414728.58</v>
      </c>
      <c r="H58" s="635">
        <f t="shared" si="0"/>
        <v>0</v>
      </c>
      <c r="I58" s="55"/>
      <c r="J58" s="55"/>
      <c r="K58" s="55"/>
    </row>
    <row r="59" spans="1:11" ht="12.75">
      <c r="A59" s="600" t="s">
        <v>802</v>
      </c>
      <c r="B59" s="616" t="s">
        <v>803</v>
      </c>
      <c r="C59" s="606">
        <v>1343380.17</v>
      </c>
      <c r="D59" s="606">
        <v>1275087.12</v>
      </c>
      <c r="E59" s="606">
        <v>1252785.12</v>
      </c>
      <c r="F59" s="606">
        <v>1252785.12</v>
      </c>
      <c r="G59" s="606">
        <v>1110927.22</v>
      </c>
      <c r="H59" s="635">
        <f t="shared" si="0"/>
        <v>141857.90000000014</v>
      </c>
      <c r="I59" s="55"/>
      <c r="J59" s="55"/>
      <c r="K59" s="55"/>
    </row>
    <row r="60" spans="1:11" ht="12.75">
      <c r="A60" s="600" t="s">
        <v>890</v>
      </c>
      <c r="B60" s="616" t="s">
        <v>891</v>
      </c>
      <c r="C60" s="606">
        <v>122691.42</v>
      </c>
      <c r="D60" s="606">
        <v>117185</v>
      </c>
      <c r="E60" s="606">
        <v>117185</v>
      </c>
      <c r="F60" s="606">
        <v>117185</v>
      </c>
      <c r="G60" s="606">
        <v>117185</v>
      </c>
      <c r="H60" s="635">
        <f t="shared" si="0"/>
        <v>0</v>
      </c>
      <c r="I60" s="635">
        <f>E58+E59+E60</f>
        <v>1784698.7000000002</v>
      </c>
      <c r="J60" s="660" t="s">
        <v>910</v>
      </c>
      <c r="K60" s="661"/>
    </row>
    <row r="61" spans="1:11" ht="12.75">
      <c r="A61" s="600" t="s">
        <v>804</v>
      </c>
      <c r="B61" s="614" t="s">
        <v>805</v>
      </c>
      <c r="C61" s="615">
        <v>1232.87</v>
      </c>
      <c r="D61" s="615">
        <v>1232.87</v>
      </c>
      <c r="E61" s="615">
        <v>1232.87</v>
      </c>
      <c r="F61" s="615">
        <v>1232.87</v>
      </c>
      <c r="G61" s="615">
        <v>1232.87</v>
      </c>
      <c r="H61" s="662">
        <f t="shared" si="0"/>
        <v>0</v>
      </c>
      <c r="I61" s="663">
        <f>E61</f>
        <v>1232.87</v>
      </c>
      <c r="J61" s="664" t="s">
        <v>685</v>
      </c>
      <c r="K61" s="665"/>
    </row>
    <row r="62" spans="1:11" ht="12.75">
      <c r="A62" s="666" t="s">
        <v>806</v>
      </c>
      <c r="B62" s="666" t="s">
        <v>807</v>
      </c>
      <c r="C62" s="612">
        <v>293646.01</v>
      </c>
      <c r="D62" s="612">
        <v>291146.01</v>
      </c>
      <c r="E62" s="612">
        <v>291146.01</v>
      </c>
      <c r="F62" s="612">
        <v>291146.01</v>
      </c>
      <c r="G62" s="612">
        <v>291146.01</v>
      </c>
      <c r="H62" s="667">
        <f t="shared" si="0"/>
        <v>0</v>
      </c>
      <c r="I62" s="668"/>
      <c r="J62" s="55"/>
      <c r="K62" s="55"/>
    </row>
    <row r="63" spans="1:11" ht="12.75">
      <c r="A63" s="666" t="s">
        <v>808</v>
      </c>
      <c r="B63" s="666" t="s">
        <v>809</v>
      </c>
      <c r="C63" s="612">
        <v>3717</v>
      </c>
      <c r="D63" s="612">
        <v>3717</v>
      </c>
      <c r="E63" s="612">
        <v>3717</v>
      </c>
      <c r="F63" s="612">
        <v>3717</v>
      </c>
      <c r="G63" s="612">
        <v>3717</v>
      </c>
      <c r="H63" s="667">
        <f t="shared" si="0"/>
        <v>0</v>
      </c>
      <c r="I63" s="668"/>
      <c r="J63" s="55"/>
      <c r="K63" s="55"/>
    </row>
    <row r="64" spans="1:11" ht="12.75">
      <c r="A64" s="666" t="s">
        <v>810</v>
      </c>
      <c r="B64" s="666" t="s">
        <v>811</v>
      </c>
      <c r="C64" s="612">
        <v>1126479.91</v>
      </c>
      <c r="D64" s="612">
        <v>1118035.44</v>
      </c>
      <c r="E64" s="612">
        <v>1114292.15</v>
      </c>
      <c r="F64" s="612">
        <v>1114292.15</v>
      </c>
      <c r="G64" s="612">
        <v>1101644.28</v>
      </c>
      <c r="H64" s="667">
        <f t="shared" si="0"/>
        <v>12647.869999999879</v>
      </c>
      <c r="I64" s="667">
        <f>E62+E63+E64</f>
        <v>1409155.16</v>
      </c>
      <c r="J64" s="668" t="s">
        <v>911</v>
      </c>
      <c r="K64" s="668"/>
    </row>
    <row r="65" spans="1:11" ht="12.75">
      <c r="A65" s="600" t="s">
        <v>812</v>
      </c>
      <c r="B65" s="610" t="s">
        <v>813</v>
      </c>
      <c r="C65" s="611">
        <v>159128.01</v>
      </c>
      <c r="D65" s="611">
        <v>142349.63</v>
      </c>
      <c r="E65" s="611">
        <v>142349.63</v>
      </c>
      <c r="F65" s="611">
        <v>142349.63</v>
      </c>
      <c r="G65" s="611">
        <v>131472.98</v>
      </c>
      <c r="H65" s="669">
        <f t="shared" si="0"/>
        <v>10876.649999999994</v>
      </c>
      <c r="I65" s="55"/>
      <c r="J65" s="55"/>
      <c r="K65" s="55"/>
    </row>
    <row r="66" spans="1:11" ht="12.75">
      <c r="A66" s="600" t="s">
        <v>814</v>
      </c>
      <c r="B66" s="610" t="s">
        <v>815</v>
      </c>
      <c r="C66" s="611">
        <v>298599</v>
      </c>
      <c r="D66" s="611">
        <v>298599</v>
      </c>
      <c r="E66" s="611">
        <v>298599</v>
      </c>
      <c r="F66" s="611">
        <v>298599</v>
      </c>
      <c r="G66" s="611">
        <v>298599</v>
      </c>
      <c r="H66" s="669">
        <f t="shared" si="0"/>
        <v>0</v>
      </c>
      <c r="I66" s="669">
        <f>E65+E66</f>
        <v>440948.63</v>
      </c>
      <c r="J66" s="670" t="s">
        <v>912</v>
      </c>
      <c r="K66" s="670"/>
    </row>
    <row r="67" spans="1:11" ht="12.75">
      <c r="A67" s="600" t="s">
        <v>816</v>
      </c>
      <c r="B67" s="639" t="s">
        <v>817</v>
      </c>
      <c r="C67" s="608">
        <v>7972723</v>
      </c>
      <c r="D67" s="608">
        <v>7972723</v>
      </c>
      <c r="E67" s="608">
        <v>6514723</v>
      </c>
      <c r="F67" s="608">
        <v>6514723</v>
      </c>
      <c r="G67" s="608">
        <v>5785723</v>
      </c>
      <c r="H67" s="640">
        <f t="shared" si="0"/>
        <v>729000</v>
      </c>
      <c r="I67" s="55"/>
      <c r="J67" s="55"/>
      <c r="K67" s="55"/>
    </row>
    <row r="68" spans="1:11" ht="12.75">
      <c r="A68" s="600" t="s">
        <v>818</v>
      </c>
      <c r="B68" s="639" t="s">
        <v>819</v>
      </c>
      <c r="C68" s="608">
        <v>15098.5</v>
      </c>
      <c r="D68" s="608">
        <v>12598.5</v>
      </c>
      <c r="E68" s="608">
        <v>12598.5</v>
      </c>
      <c r="F68" s="608">
        <v>12598.5</v>
      </c>
      <c r="G68" s="608">
        <v>12598.5</v>
      </c>
      <c r="H68" s="640">
        <f t="shared" si="0"/>
        <v>0</v>
      </c>
      <c r="I68" s="55"/>
      <c r="J68" s="55"/>
      <c r="K68" s="55"/>
    </row>
    <row r="69" spans="1:11" ht="12.75">
      <c r="A69" s="600" t="s">
        <v>820</v>
      </c>
      <c r="B69" s="639" t="s">
        <v>821</v>
      </c>
      <c r="C69" s="608">
        <v>75450.26</v>
      </c>
      <c r="D69" s="608">
        <v>65272.68</v>
      </c>
      <c r="E69" s="608">
        <v>65272.68</v>
      </c>
      <c r="F69" s="608">
        <v>65272.68</v>
      </c>
      <c r="G69" s="608">
        <v>65272.68</v>
      </c>
      <c r="H69" s="640">
        <f t="shared" si="0"/>
        <v>0</v>
      </c>
      <c r="I69" s="55"/>
      <c r="J69" s="55"/>
      <c r="K69" s="55"/>
    </row>
    <row r="70" spans="1:11" ht="12.75">
      <c r="A70" s="600" t="s">
        <v>822</v>
      </c>
      <c r="B70" s="639" t="s">
        <v>823</v>
      </c>
      <c r="C70" s="608">
        <v>4451</v>
      </c>
      <c r="D70" s="608">
        <v>3951</v>
      </c>
      <c r="E70" s="608">
        <v>3951</v>
      </c>
      <c r="F70" s="608">
        <v>3951</v>
      </c>
      <c r="G70" s="608">
        <v>3951</v>
      </c>
      <c r="H70" s="640">
        <f t="shared" si="0"/>
        <v>0</v>
      </c>
      <c r="I70" s="640">
        <f>E67+E68+E69+E70</f>
        <v>6596545.18</v>
      </c>
      <c r="J70" s="671" t="s">
        <v>879</v>
      </c>
      <c r="K70" s="55"/>
    </row>
    <row r="71" spans="1:11" ht="12.75">
      <c r="A71" s="672" t="s">
        <v>824</v>
      </c>
      <c r="B71" s="672" t="s">
        <v>825</v>
      </c>
      <c r="C71" s="673">
        <v>306362</v>
      </c>
      <c r="D71" s="673">
        <v>305362</v>
      </c>
      <c r="E71" s="673">
        <v>305362</v>
      </c>
      <c r="F71" s="673">
        <v>305362</v>
      </c>
      <c r="G71" s="673">
        <v>305362</v>
      </c>
      <c r="H71" s="674">
        <f t="shared" si="0"/>
        <v>0</v>
      </c>
      <c r="I71" s="55"/>
      <c r="J71" s="55"/>
      <c r="K71" s="55"/>
    </row>
    <row r="72" spans="1:11" ht="12.75">
      <c r="A72" s="672" t="s">
        <v>826</v>
      </c>
      <c r="B72" s="672" t="s">
        <v>827</v>
      </c>
      <c r="C72" s="673">
        <v>1830420.62</v>
      </c>
      <c r="D72" s="673">
        <v>1608614.79</v>
      </c>
      <c r="E72" s="673">
        <v>1496514.79</v>
      </c>
      <c r="F72" s="673">
        <v>1496514.79</v>
      </c>
      <c r="G72" s="673">
        <v>1425879.12</v>
      </c>
      <c r="H72" s="674">
        <f t="shared" si="0"/>
        <v>70635.66999999993</v>
      </c>
      <c r="I72" s="55"/>
      <c r="J72" s="55"/>
      <c r="K72" s="55"/>
    </row>
    <row r="73" spans="1:11" ht="12.75">
      <c r="A73" s="672" t="s">
        <v>828</v>
      </c>
      <c r="B73" s="672" t="s">
        <v>829</v>
      </c>
      <c r="C73" s="673">
        <v>183000</v>
      </c>
      <c r="D73" s="673">
        <v>177398.22</v>
      </c>
      <c r="E73" s="673">
        <v>97977.59</v>
      </c>
      <c r="F73" s="673">
        <v>97977.59</v>
      </c>
      <c r="G73" s="673">
        <v>44977.59</v>
      </c>
      <c r="H73" s="674">
        <f t="shared" si="0"/>
        <v>53000</v>
      </c>
      <c r="I73" s="55"/>
      <c r="J73" s="55"/>
      <c r="K73" s="55"/>
    </row>
    <row r="74" spans="1:11" ht="12.75">
      <c r="A74" s="672" t="s">
        <v>830</v>
      </c>
      <c r="B74" s="672" t="s">
        <v>831</v>
      </c>
      <c r="C74" s="673">
        <v>859.95</v>
      </c>
      <c r="D74" s="673">
        <v>859.95</v>
      </c>
      <c r="E74" s="673">
        <v>859.95</v>
      </c>
      <c r="F74" s="673">
        <v>859.95</v>
      </c>
      <c r="G74" s="673">
        <v>859.95</v>
      </c>
      <c r="H74" s="674">
        <f t="shared" si="0"/>
        <v>0</v>
      </c>
      <c r="I74" s="55"/>
      <c r="J74" s="55"/>
      <c r="K74" s="55"/>
    </row>
    <row r="75" spans="1:11" ht="12.75">
      <c r="A75" s="672" t="s">
        <v>832</v>
      </c>
      <c r="B75" s="672" t="s">
        <v>833</v>
      </c>
      <c r="C75" s="673">
        <v>272026.97</v>
      </c>
      <c r="D75" s="673">
        <v>247035.05</v>
      </c>
      <c r="E75" s="673">
        <v>247035.05</v>
      </c>
      <c r="F75" s="673">
        <v>247035.05</v>
      </c>
      <c r="G75" s="673">
        <v>231035.05</v>
      </c>
      <c r="H75" s="674">
        <f t="shared" si="0"/>
        <v>16000</v>
      </c>
      <c r="I75" s="55"/>
      <c r="J75" s="55"/>
      <c r="K75" s="55"/>
    </row>
    <row r="76" spans="1:11" ht="12.75">
      <c r="A76" s="672" t="s">
        <v>834</v>
      </c>
      <c r="B76" s="672" t="s">
        <v>835</v>
      </c>
      <c r="C76" s="673">
        <v>174165.95</v>
      </c>
      <c r="D76" s="673">
        <v>171165.95</v>
      </c>
      <c r="E76" s="673">
        <v>158659.75</v>
      </c>
      <c r="F76" s="673">
        <v>158659.75</v>
      </c>
      <c r="G76" s="673">
        <v>158659.75</v>
      </c>
      <c r="H76" s="674">
        <f aca="true" t="shared" si="1" ref="H76:H91">E76-G76</f>
        <v>0</v>
      </c>
      <c r="I76" s="55"/>
      <c r="J76" s="55"/>
      <c r="K76" s="55"/>
    </row>
    <row r="77" spans="1:11" ht="12.75">
      <c r="A77" s="672" t="s">
        <v>836</v>
      </c>
      <c r="B77" s="672" t="s">
        <v>837</v>
      </c>
      <c r="C77" s="673">
        <v>912186.8</v>
      </c>
      <c r="D77" s="673">
        <v>901177.78</v>
      </c>
      <c r="E77" s="673">
        <v>901177.78</v>
      </c>
      <c r="F77" s="673">
        <v>901177.78</v>
      </c>
      <c r="G77" s="673">
        <v>751186.8</v>
      </c>
      <c r="H77" s="674">
        <f t="shared" si="1"/>
        <v>149990.97999999998</v>
      </c>
      <c r="I77" s="674">
        <f>E71+E72+E73+E74+E75+E76+E77</f>
        <v>3207586.91</v>
      </c>
      <c r="J77" s="55"/>
      <c r="K77" s="55"/>
    </row>
    <row r="78" spans="1:11" ht="12.75">
      <c r="A78" s="600" t="s">
        <v>838</v>
      </c>
      <c r="B78" s="600" t="s">
        <v>839</v>
      </c>
      <c r="C78" s="601">
        <v>8500000</v>
      </c>
      <c r="D78" s="601">
        <v>8500000</v>
      </c>
      <c r="E78" s="601">
        <v>8500000</v>
      </c>
      <c r="F78" s="601">
        <v>8500000</v>
      </c>
      <c r="G78" s="601">
        <v>8500000</v>
      </c>
      <c r="H78" s="113">
        <f t="shared" si="1"/>
        <v>0</v>
      </c>
      <c r="I78" s="55"/>
      <c r="J78" s="55"/>
      <c r="K78" s="55"/>
    </row>
    <row r="79" spans="1:11" ht="12.75">
      <c r="A79" s="600" t="s">
        <v>840</v>
      </c>
      <c r="B79" s="600" t="s">
        <v>841</v>
      </c>
      <c r="C79" s="601">
        <v>1300000</v>
      </c>
      <c r="D79" s="601">
        <v>1300000</v>
      </c>
      <c r="E79" s="601">
        <v>1300000</v>
      </c>
      <c r="F79" s="601">
        <v>1300000</v>
      </c>
      <c r="G79" s="601">
        <v>1300000</v>
      </c>
      <c r="H79" s="113">
        <f t="shared" si="1"/>
        <v>0</v>
      </c>
      <c r="I79" s="55"/>
      <c r="J79" s="55"/>
      <c r="K79" s="55"/>
    </row>
    <row r="80" spans="1:11" ht="12.75">
      <c r="A80" s="600" t="s">
        <v>842</v>
      </c>
      <c r="B80" s="600" t="s">
        <v>843</v>
      </c>
      <c r="C80" s="601">
        <v>28830000.06</v>
      </c>
      <c r="D80" s="601">
        <v>28830000.06</v>
      </c>
      <c r="E80" s="601">
        <v>28830000.06</v>
      </c>
      <c r="F80" s="601">
        <v>28830000.06</v>
      </c>
      <c r="G80" s="601">
        <v>28830000.06</v>
      </c>
      <c r="H80" s="113">
        <f t="shared" si="1"/>
        <v>0</v>
      </c>
      <c r="I80" s="55"/>
      <c r="J80" s="55"/>
      <c r="K80" s="55"/>
    </row>
    <row r="81" spans="1:11" ht="12.75">
      <c r="A81" s="600" t="s">
        <v>844</v>
      </c>
      <c r="B81" s="600" t="s">
        <v>845</v>
      </c>
      <c r="C81" s="601">
        <v>739500</v>
      </c>
      <c r="D81" s="601">
        <v>739500</v>
      </c>
      <c r="E81" s="601">
        <v>739500</v>
      </c>
      <c r="F81" s="601">
        <v>739500</v>
      </c>
      <c r="G81" s="601">
        <v>739500</v>
      </c>
      <c r="H81" s="113">
        <f t="shared" si="1"/>
        <v>0</v>
      </c>
      <c r="I81" s="55"/>
      <c r="J81" s="55"/>
      <c r="K81" s="55"/>
    </row>
    <row r="82" spans="1:11" ht="12.75">
      <c r="A82" s="600" t="s">
        <v>846</v>
      </c>
      <c r="B82" s="600" t="s">
        <v>847</v>
      </c>
      <c r="C82" s="601">
        <v>39789196</v>
      </c>
      <c r="D82" s="601">
        <v>39789196</v>
      </c>
      <c r="E82" s="601">
        <v>39789196</v>
      </c>
      <c r="F82" s="601">
        <v>39789196</v>
      </c>
      <c r="G82" s="601">
        <v>39789196</v>
      </c>
      <c r="H82" s="113">
        <f t="shared" si="1"/>
        <v>0</v>
      </c>
      <c r="I82" s="55"/>
      <c r="J82" s="55"/>
      <c r="K82" s="55"/>
    </row>
    <row r="83" spans="1:11" ht="12.75">
      <c r="A83" s="600" t="s">
        <v>848</v>
      </c>
      <c r="B83" s="600" t="s">
        <v>849</v>
      </c>
      <c r="C83" s="601">
        <v>2221587.21</v>
      </c>
      <c r="D83" s="601">
        <v>2210921.86</v>
      </c>
      <c r="E83" s="601">
        <v>94587.21</v>
      </c>
      <c r="F83" s="601">
        <v>94587.21</v>
      </c>
      <c r="G83" s="601">
        <v>94587.21</v>
      </c>
      <c r="H83" s="113">
        <f t="shared" si="1"/>
        <v>0</v>
      </c>
      <c r="I83" s="55"/>
      <c r="J83" s="55"/>
      <c r="K83" s="55"/>
    </row>
    <row r="84" spans="1:11" ht="12.75">
      <c r="A84" s="600" t="s">
        <v>850</v>
      </c>
      <c r="B84" s="600" t="s">
        <v>851</v>
      </c>
      <c r="C84" s="601">
        <v>6635274.12</v>
      </c>
      <c r="D84" s="601">
        <v>6387132.18</v>
      </c>
      <c r="E84" s="601">
        <v>3652029.06</v>
      </c>
      <c r="F84" s="601">
        <v>3652029.06</v>
      </c>
      <c r="G84" s="601">
        <v>3652029.06</v>
      </c>
      <c r="H84" s="113">
        <f t="shared" si="1"/>
        <v>0</v>
      </c>
      <c r="I84" s="55"/>
      <c r="J84" s="55"/>
      <c r="K84" s="55"/>
    </row>
    <row r="85" spans="1:11" ht="12.75">
      <c r="A85" s="600" t="s">
        <v>852</v>
      </c>
      <c r="B85" s="600" t="s">
        <v>853</v>
      </c>
      <c r="C85" s="601">
        <v>1990510</v>
      </c>
      <c r="D85" s="601">
        <v>1990510</v>
      </c>
      <c r="E85" s="601">
        <v>1990509.92</v>
      </c>
      <c r="F85" s="601">
        <v>1990509.92</v>
      </c>
      <c r="G85" s="601">
        <v>1990509.92</v>
      </c>
      <c r="H85" s="113">
        <f t="shared" si="1"/>
        <v>0</v>
      </c>
      <c r="I85" s="55"/>
      <c r="J85" s="55"/>
      <c r="K85" s="55"/>
    </row>
    <row r="86" spans="1:11" ht="12.75">
      <c r="A86" s="600" t="s">
        <v>854</v>
      </c>
      <c r="B86" s="600" t="s">
        <v>855</v>
      </c>
      <c r="C86" s="601">
        <v>118404.93</v>
      </c>
      <c r="D86" s="601">
        <v>118404.93</v>
      </c>
      <c r="E86" s="601">
        <v>118404.93</v>
      </c>
      <c r="F86" s="601">
        <v>118404.93</v>
      </c>
      <c r="G86" s="601">
        <v>118404.93</v>
      </c>
      <c r="H86" s="113">
        <f t="shared" si="1"/>
        <v>0</v>
      </c>
      <c r="I86" s="55"/>
      <c r="J86" s="55"/>
      <c r="K86" s="55"/>
    </row>
    <row r="87" spans="1:11" ht="12.75">
      <c r="A87" s="600" t="s">
        <v>856</v>
      </c>
      <c r="B87" s="600" t="s">
        <v>857</v>
      </c>
      <c r="C87" s="601">
        <v>350000</v>
      </c>
      <c r="D87" s="601">
        <v>340548</v>
      </c>
      <c r="E87" s="601">
        <v>340548</v>
      </c>
      <c r="F87" s="601">
        <v>340548</v>
      </c>
      <c r="G87" s="601">
        <v>340548</v>
      </c>
      <c r="H87" s="113">
        <f t="shared" si="1"/>
        <v>0</v>
      </c>
      <c r="I87" s="55"/>
      <c r="J87" s="55"/>
      <c r="K87" s="55"/>
    </row>
    <row r="88" spans="1:11" ht="12.75">
      <c r="A88" s="600" t="s">
        <v>858</v>
      </c>
      <c r="B88" s="600" t="s">
        <v>859</v>
      </c>
      <c r="C88" s="601">
        <v>11412088</v>
      </c>
      <c r="D88" s="601">
        <v>0</v>
      </c>
      <c r="E88" s="601">
        <v>0</v>
      </c>
      <c r="F88" s="601">
        <v>0</v>
      </c>
      <c r="G88" s="601">
        <v>0</v>
      </c>
      <c r="H88" s="113">
        <f t="shared" si="1"/>
        <v>0</v>
      </c>
      <c r="I88" s="55"/>
      <c r="J88" s="55"/>
      <c r="K88" s="55"/>
    </row>
    <row r="89" spans="1:11" ht="12.75">
      <c r="A89" s="600" t="s">
        <v>860</v>
      </c>
      <c r="B89" s="600" t="s">
        <v>861</v>
      </c>
      <c r="C89" s="601">
        <v>74281</v>
      </c>
      <c r="D89" s="601">
        <v>74281</v>
      </c>
      <c r="E89" s="601">
        <v>74281</v>
      </c>
      <c r="F89" s="601">
        <v>74281</v>
      </c>
      <c r="G89" s="601">
        <v>74281</v>
      </c>
      <c r="H89" s="113">
        <f t="shared" si="1"/>
        <v>0</v>
      </c>
      <c r="I89" s="55"/>
      <c r="J89" s="55"/>
      <c r="K89" s="55"/>
    </row>
    <row r="90" spans="1:11" ht="12.75">
      <c r="A90" s="600" t="s">
        <v>862</v>
      </c>
      <c r="B90" s="600" t="s">
        <v>863</v>
      </c>
      <c r="C90" s="601">
        <v>61360</v>
      </c>
      <c r="D90" s="601">
        <v>61360</v>
      </c>
      <c r="E90" s="601">
        <v>61360</v>
      </c>
      <c r="F90" s="601">
        <v>61360</v>
      </c>
      <c r="G90" s="601">
        <v>61360</v>
      </c>
      <c r="H90" s="113">
        <f t="shared" si="1"/>
        <v>0</v>
      </c>
      <c r="I90" s="55"/>
      <c r="J90" s="55"/>
      <c r="K90" s="55"/>
    </row>
    <row r="91" spans="1:11" ht="12.75">
      <c r="A91" s="600" t="s">
        <v>864</v>
      </c>
      <c r="B91" s="600" t="s">
        <v>865</v>
      </c>
      <c r="C91" s="601">
        <v>250000</v>
      </c>
      <c r="D91" s="601">
        <v>199160.4</v>
      </c>
      <c r="E91" s="601">
        <v>199160.4</v>
      </c>
      <c r="F91" s="601">
        <v>199160.4</v>
      </c>
      <c r="G91" s="601">
        <v>199160.4</v>
      </c>
      <c r="H91" s="113">
        <f t="shared" si="1"/>
        <v>0</v>
      </c>
      <c r="I91" s="113">
        <f>E83+E84+E86+E87+E89+E90+E91</f>
        <v>4540370.600000001</v>
      </c>
      <c r="J91" s="55"/>
      <c r="K91" s="55"/>
    </row>
    <row r="92" spans="1:11" ht="12.75">
      <c r="A92" s="55"/>
      <c r="B92" s="55"/>
      <c r="C92" s="675">
        <f aca="true" t="shared" si="2" ref="C92:H92">SUM(C11:C91)</f>
        <v>416993407.47999996</v>
      </c>
      <c r="D92" s="675">
        <f t="shared" si="2"/>
        <v>397217575.67999995</v>
      </c>
      <c r="E92" s="675">
        <f t="shared" si="2"/>
        <v>377687707.3899998</v>
      </c>
      <c r="F92" s="675">
        <f t="shared" si="2"/>
        <v>377618495.3899998</v>
      </c>
      <c r="G92" s="675">
        <f t="shared" si="2"/>
        <v>373782592.11999995</v>
      </c>
      <c r="H92" s="357">
        <f t="shared" si="2"/>
        <v>3905115.2699999996</v>
      </c>
      <c r="I92" s="55"/>
      <c r="J92" s="55"/>
      <c r="K92" s="5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8:K96"/>
  <sheetViews>
    <sheetView zoomScalePageLayoutView="0" workbookViewId="0" topLeftCell="A1">
      <selection activeCell="G6" sqref="G6"/>
    </sheetView>
  </sheetViews>
  <sheetFormatPr defaultColWidth="11.421875" defaultRowHeight="12.75"/>
  <cols>
    <col min="1" max="1" width="7.28125" style="0" customWidth="1"/>
    <col min="2" max="2" width="34.140625" style="0" customWidth="1"/>
    <col min="3" max="3" width="19.7109375" style="0" customWidth="1"/>
    <col min="4" max="4" width="15.00390625" style="0" customWidth="1"/>
    <col min="5" max="5" width="14.57421875" style="0" customWidth="1"/>
    <col min="6" max="6" width="16.00390625" style="0" customWidth="1"/>
    <col min="7" max="7" width="19.140625" style="0" customWidth="1"/>
    <col min="8" max="8" width="14.28125" style="0" customWidth="1"/>
    <col min="9" max="9" width="16.7109375" style="0" customWidth="1"/>
    <col min="10" max="10" width="21.57421875" style="0" customWidth="1"/>
  </cols>
  <sheetData>
    <row r="8" ht="12.75">
      <c r="E8" t="s">
        <v>154</v>
      </c>
    </row>
    <row r="9" spans="1:11" ht="15.75">
      <c r="A9" s="621" t="s">
        <v>705</v>
      </c>
      <c r="B9" s="621" t="s">
        <v>706</v>
      </c>
      <c r="C9" s="621" t="s">
        <v>708</v>
      </c>
      <c r="D9" s="621" t="s">
        <v>709</v>
      </c>
      <c r="E9" s="621" t="s">
        <v>710</v>
      </c>
      <c r="F9" s="621" t="s">
        <v>711</v>
      </c>
      <c r="G9" s="621" t="s">
        <v>707</v>
      </c>
      <c r="H9" s="623"/>
      <c r="I9" s="623"/>
      <c r="J9" s="623"/>
      <c r="K9" s="623"/>
    </row>
    <row r="10" spans="1:11" ht="12.75">
      <c r="A10" s="8" t="s">
        <v>712</v>
      </c>
      <c r="B10" s="8" t="s">
        <v>713</v>
      </c>
      <c r="C10" s="44">
        <v>167754276.73</v>
      </c>
      <c r="D10" s="44">
        <v>166062476.84</v>
      </c>
      <c r="E10" s="44">
        <v>166062476.84</v>
      </c>
      <c r="F10" s="44">
        <v>166062476.84</v>
      </c>
      <c r="G10" s="44">
        <v>167754276.73</v>
      </c>
      <c r="H10" s="113">
        <f>D10-F10</f>
        <v>0</v>
      </c>
      <c r="I10" s="55"/>
      <c r="J10" s="55"/>
      <c r="K10" s="55"/>
    </row>
    <row r="11" spans="1:11" ht="12.75">
      <c r="A11" s="8" t="s">
        <v>714</v>
      </c>
      <c r="B11" s="8" t="s">
        <v>715</v>
      </c>
      <c r="C11" s="44">
        <v>4154000</v>
      </c>
      <c r="D11" s="44">
        <v>4123000</v>
      </c>
      <c r="E11" s="44">
        <v>4123000</v>
      </c>
      <c r="F11" s="44">
        <v>4123000</v>
      </c>
      <c r="G11" s="44">
        <v>6008000</v>
      </c>
      <c r="H11" s="113">
        <f aca="true" t="shared" si="0" ref="H11:H74">D11-F11</f>
        <v>0</v>
      </c>
      <c r="I11" s="55"/>
      <c r="J11" s="55"/>
      <c r="K11" s="55"/>
    </row>
    <row r="12" spans="1:11" ht="12.75">
      <c r="A12" s="8" t="s">
        <v>716</v>
      </c>
      <c r="B12" s="8" t="s">
        <v>717</v>
      </c>
      <c r="C12" s="44">
        <v>81499.89</v>
      </c>
      <c r="D12" s="44">
        <v>0</v>
      </c>
      <c r="E12" s="44">
        <v>0</v>
      </c>
      <c r="F12" s="44">
        <v>0</v>
      </c>
      <c r="G12" s="44">
        <v>81499.89</v>
      </c>
      <c r="H12" s="113">
        <f t="shared" si="0"/>
        <v>0</v>
      </c>
      <c r="I12" s="55"/>
      <c r="J12" s="55"/>
      <c r="K12" s="55"/>
    </row>
    <row r="13" spans="1:11" ht="12.75">
      <c r="A13" s="8" t="s">
        <v>718</v>
      </c>
      <c r="B13" s="8" t="s">
        <v>719</v>
      </c>
      <c r="C13" s="44">
        <v>4366200</v>
      </c>
      <c r="D13" s="44">
        <v>4244200</v>
      </c>
      <c r="E13" s="44">
        <v>4244200</v>
      </c>
      <c r="F13" s="44">
        <v>4244200</v>
      </c>
      <c r="G13" s="44">
        <v>4366200</v>
      </c>
      <c r="H13" s="113">
        <f t="shared" si="0"/>
        <v>0</v>
      </c>
      <c r="I13" s="55"/>
      <c r="J13" s="55"/>
      <c r="K13" s="55"/>
    </row>
    <row r="14" spans="1:11" ht="12.75">
      <c r="A14" s="8" t="s">
        <v>720</v>
      </c>
      <c r="B14" s="8" t="s">
        <v>721</v>
      </c>
      <c r="C14" s="44">
        <v>614000.94</v>
      </c>
      <c r="D14" s="44">
        <v>600710.68</v>
      </c>
      <c r="E14" s="44">
        <v>600710.68</v>
      </c>
      <c r="F14" s="44">
        <v>600710.68</v>
      </c>
      <c r="G14" s="44">
        <v>614000.94</v>
      </c>
      <c r="H14" s="113">
        <f t="shared" si="0"/>
        <v>0</v>
      </c>
      <c r="I14" s="55"/>
      <c r="J14" s="55"/>
      <c r="K14" s="55"/>
    </row>
    <row r="15" spans="1:11" ht="12.75">
      <c r="A15" s="8" t="s">
        <v>722</v>
      </c>
      <c r="B15" s="8" t="s">
        <v>723</v>
      </c>
      <c r="C15" s="44">
        <v>5170000</v>
      </c>
      <c r="D15" s="44">
        <v>5150000</v>
      </c>
      <c r="E15" s="44">
        <v>5150000</v>
      </c>
      <c r="F15" s="44">
        <v>5150000</v>
      </c>
      <c r="G15" s="44">
        <v>5170000</v>
      </c>
      <c r="H15" s="113">
        <f t="shared" si="0"/>
        <v>0</v>
      </c>
      <c r="I15" s="55"/>
      <c r="J15" s="55"/>
      <c r="K15" s="55"/>
    </row>
    <row r="16" spans="1:11" ht="12.75">
      <c r="A16" s="8" t="s">
        <v>896</v>
      </c>
      <c r="B16" s="8" t="s">
        <v>897</v>
      </c>
      <c r="C16" s="44">
        <v>16944635.1</v>
      </c>
      <c r="D16" s="44">
        <v>16315135.1</v>
      </c>
      <c r="E16" s="44">
        <v>16315135.1</v>
      </c>
      <c r="F16" s="44">
        <v>16315135.1</v>
      </c>
      <c r="G16" s="44">
        <v>16944635.1</v>
      </c>
      <c r="H16" s="113">
        <f t="shared" si="0"/>
        <v>0</v>
      </c>
      <c r="I16" s="55"/>
      <c r="J16" s="55"/>
      <c r="K16" s="55"/>
    </row>
    <row r="17" spans="1:11" ht="12.75">
      <c r="A17" s="8" t="s">
        <v>724</v>
      </c>
      <c r="B17" s="8" t="s">
        <v>725</v>
      </c>
      <c r="C17" s="44">
        <v>11719904.18</v>
      </c>
      <c r="D17" s="44">
        <v>11597756.27</v>
      </c>
      <c r="E17" s="44">
        <v>11597756.27</v>
      </c>
      <c r="F17" s="44">
        <v>11597756.27</v>
      </c>
      <c r="G17" s="44">
        <v>11719904.18</v>
      </c>
      <c r="H17" s="113">
        <f t="shared" si="0"/>
        <v>0</v>
      </c>
      <c r="I17" s="55"/>
      <c r="J17" s="55"/>
      <c r="K17" s="55"/>
    </row>
    <row r="18" spans="1:11" ht="12.75">
      <c r="A18" s="8" t="s">
        <v>726</v>
      </c>
      <c r="B18" s="8" t="s">
        <v>727</v>
      </c>
      <c r="C18" s="44">
        <v>12168620.32</v>
      </c>
      <c r="D18" s="44">
        <v>12046291.54</v>
      </c>
      <c r="E18" s="44">
        <v>12046291.54</v>
      </c>
      <c r="F18" s="44">
        <v>12046291.54</v>
      </c>
      <c r="G18" s="44">
        <v>12168620.32</v>
      </c>
      <c r="H18" s="113">
        <f t="shared" si="0"/>
        <v>0</v>
      </c>
      <c r="I18" s="55"/>
      <c r="J18" s="55"/>
      <c r="K18" s="55"/>
    </row>
    <row r="19" spans="1:11" ht="12.75">
      <c r="A19" s="8" t="s">
        <v>728</v>
      </c>
      <c r="B19" s="8" t="s">
        <v>729</v>
      </c>
      <c r="C19" s="44">
        <v>1590171.44</v>
      </c>
      <c r="D19" s="44">
        <v>1574338.64</v>
      </c>
      <c r="E19" s="44">
        <v>1574338.64</v>
      </c>
      <c r="F19" s="44">
        <v>1574338.64</v>
      </c>
      <c r="G19" s="44">
        <v>1590171.44</v>
      </c>
      <c r="H19" s="113">
        <f t="shared" si="0"/>
        <v>0</v>
      </c>
      <c r="I19" s="55"/>
      <c r="J19" s="55"/>
      <c r="K19" s="55"/>
    </row>
    <row r="20" spans="1:11" ht="12.75">
      <c r="A20" s="8" t="s">
        <v>730</v>
      </c>
      <c r="B20" s="8" t="s">
        <v>731</v>
      </c>
      <c r="C20" s="44">
        <v>348813.82</v>
      </c>
      <c r="D20" s="44">
        <v>348813.82</v>
      </c>
      <c r="E20" s="44">
        <v>348813.82</v>
      </c>
      <c r="F20" s="44">
        <v>321855.87</v>
      </c>
      <c r="G20" s="44">
        <v>348813.82</v>
      </c>
      <c r="H20" s="113">
        <f t="shared" si="0"/>
        <v>26957.95000000001</v>
      </c>
      <c r="I20" s="55"/>
      <c r="J20" s="55"/>
      <c r="K20" s="55"/>
    </row>
    <row r="21" spans="1:11" ht="12.75">
      <c r="A21" s="8" t="s">
        <v>732</v>
      </c>
      <c r="B21" s="8" t="s">
        <v>733</v>
      </c>
      <c r="C21" s="44">
        <v>8405276.98</v>
      </c>
      <c r="D21" s="44">
        <v>8405276.98</v>
      </c>
      <c r="E21" s="44">
        <v>8405276.98</v>
      </c>
      <c r="F21" s="44">
        <v>7446302.97</v>
      </c>
      <c r="G21" s="44">
        <v>8405276.98</v>
      </c>
      <c r="H21" s="113">
        <f t="shared" si="0"/>
        <v>958974.0100000007</v>
      </c>
      <c r="I21" s="357">
        <f>D20+D21+D22</f>
        <v>11248114.040000001</v>
      </c>
      <c r="J21" s="350" t="s">
        <v>916</v>
      </c>
      <c r="K21" s="55"/>
    </row>
    <row r="22" spans="1:11" ht="12.75">
      <c r="A22" s="8" t="s">
        <v>734</v>
      </c>
      <c r="B22" s="8" t="s">
        <v>735</v>
      </c>
      <c r="C22" s="44">
        <v>2494023.24</v>
      </c>
      <c r="D22" s="44">
        <v>2494023.24</v>
      </c>
      <c r="E22" s="44">
        <v>2494023.24</v>
      </c>
      <c r="F22" s="44">
        <v>2245397.58</v>
      </c>
      <c r="G22" s="44">
        <v>2494023.24</v>
      </c>
      <c r="H22" s="113">
        <f t="shared" si="0"/>
        <v>248625.66000000015</v>
      </c>
      <c r="I22" s="55"/>
      <c r="J22" s="55"/>
      <c r="K22" s="55"/>
    </row>
    <row r="23" spans="1:11" ht="12.75">
      <c r="A23" s="8" t="s">
        <v>736</v>
      </c>
      <c r="B23" s="8" t="s">
        <v>737</v>
      </c>
      <c r="C23" s="44">
        <v>5500539.41</v>
      </c>
      <c r="D23" s="44">
        <v>5500539.41</v>
      </c>
      <c r="E23" s="44">
        <v>5500539.41</v>
      </c>
      <c r="F23" s="44">
        <v>5500539.41</v>
      </c>
      <c r="G23" s="44">
        <v>5555476.02</v>
      </c>
      <c r="H23" s="113">
        <f t="shared" si="0"/>
        <v>0</v>
      </c>
      <c r="I23" s="55"/>
      <c r="J23" s="55"/>
      <c r="K23" s="55"/>
    </row>
    <row r="24" spans="1:11" ht="12.75">
      <c r="A24" s="8" t="s">
        <v>738</v>
      </c>
      <c r="B24" s="8" t="s">
        <v>739</v>
      </c>
      <c r="C24" s="44">
        <v>153263.2</v>
      </c>
      <c r="D24" s="44">
        <v>141060.2</v>
      </c>
      <c r="E24" s="44">
        <v>141060.2</v>
      </c>
      <c r="F24" s="44">
        <v>109920</v>
      </c>
      <c r="G24" s="44">
        <v>153263.2</v>
      </c>
      <c r="H24" s="113">
        <f t="shared" si="0"/>
        <v>31140.20000000001</v>
      </c>
      <c r="I24" s="113">
        <f>D23+D24+D25</f>
        <v>5649849.61</v>
      </c>
      <c r="J24" s="350" t="s">
        <v>901</v>
      </c>
      <c r="K24" s="55"/>
    </row>
    <row r="25" spans="1:11" ht="12.75">
      <c r="A25" s="8" t="s">
        <v>740</v>
      </c>
      <c r="B25" s="8" t="s">
        <v>741</v>
      </c>
      <c r="C25" s="44">
        <v>8250</v>
      </c>
      <c r="D25" s="44">
        <v>8250</v>
      </c>
      <c r="E25" s="44">
        <v>8250</v>
      </c>
      <c r="F25" s="44">
        <v>6750</v>
      </c>
      <c r="G25" s="44">
        <v>8250</v>
      </c>
      <c r="H25" s="113">
        <f t="shared" si="0"/>
        <v>1500</v>
      </c>
      <c r="I25" s="55"/>
      <c r="J25" s="55"/>
      <c r="K25" s="55"/>
    </row>
    <row r="26" spans="1:11" ht="12.75">
      <c r="A26" s="8" t="s">
        <v>742</v>
      </c>
      <c r="B26" s="8" t="s">
        <v>743</v>
      </c>
      <c r="C26" s="44">
        <v>8397889.14</v>
      </c>
      <c r="D26" s="44">
        <v>8029796.34</v>
      </c>
      <c r="E26" s="44">
        <v>8029796.34</v>
      </c>
      <c r="F26" s="44">
        <v>8029796.34</v>
      </c>
      <c r="G26" s="44">
        <v>10898889.14</v>
      </c>
      <c r="H26" s="113">
        <f t="shared" si="0"/>
        <v>0</v>
      </c>
      <c r="I26" s="113">
        <f>D26+D27</f>
        <v>12437810.24</v>
      </c>
      <c r="J26" s="350" t="s">
        <v>917</v>
      </c>
      <c r="K26" s="55"/>
    </row>
    <row r="27" spans="1:11" ht="12.75">
      <c r="A27" s="8" t="s">
        <v>744</v>
      </c>
      <c r="B27" s="8" t="s">
        <v>745</v>
      </c>
      <c r="C27" s="44">
        <v>4891931.9</v>
      </c>
      <c r="D27" s="44">
        <v>4408013.9</v>
      </c>
      <c r="E27" s="44">
        <v>4408013.9</v>
      </c>
      <c r="F27" s="44">
        <v>4408013.9</v>
      </c>
      <c r="G27" s="44">
        <v>7272167.9</v>
      </c>
      <c r="H27" s="113">
        <f t="shared" si="0"/>
        <v>0</v>
      </c>
      <c r="I27" s="55"/>
      <c r="J27" s="55"/>
      <c r="K27" s="55"/>
    </row>
    <row r="28" spans="1:11" ht="12.75">
      <c r="A28" s="8" t="s">
        <v>746</v>
      </c>
      <c r="B28" s="8" t="s">
        <v>747</v>
      </c>
      <c r="C28" s="44">
        <v>2131726.64</v>
      </c>
      <c r="D28" s="44">
        <v>2117326.64</v>
      </c>
      <c r="E28" s="44">
        <v>2117326.64</v>
      </c>
      <c r="F28" s="44">
        <v>1751826.64</v>
      </c>
      <c r="G28" s="44">
        <v>2170060.64</v>
      </c>
      <c r="H28" s="113">
        <f t="shared" si="0"/>
        <v>365500.00000000023</v>
      </c>
      <c r="I28" s="113">
        <f>D28+D29</f>
        <v>5983951.93</v>
      </c>
      <c r="J28" s="350" t="s">
        <v>623</v>
      </c>
      <c r="K28" s="55"/>
    </row>
    <row r="29" spans="1:11" ht="12.75">
      <c r="A29" s="8" t="s">
        <v>748</v>
      </c>
      <c r="B29" s="8" t="s">
        <v>749</v>
      </c>
      <c r="C29" s="44">
        <v>3866625.29</v>
      </c>
      <c r="D29" s="44">
        <v>3866625.29</v>
      </c>
      <c r="E29" s="44">
        <v>3866625.29</v>
      </c>
      <c r="F29" s="44">
        <v>3866625.29</v>
      </c>
      <c r="G29" s="44">
        <v>3866625.29</v>
      </c>
      <c r="H29" s="113">
        <f t="shared" si="0"/>
        <v>0</v>
      </c>
      <c r="I29" s="55"/>
      <c r="J29" s="55"/>
      <c r="K29" s="55"/>
    </row>
    <row r="30" spans="1:11" ht="12.75">
      <c r="A30" s="8" t="s">
        <v>750</v>
      </c>
      <c r="B30" s="8" t="s">
        <v>751</v>
      </c>
      <c r="C30" s="44">
        <v>2405816.36</v>
      </c>
      <c r="D30" s="44">
        <v>2396816.36</v>
      </c>
      <c r="E30" s="44">
        <v>2396816.36</v>
      </c>
      <c r="F30" s="44">
        <v>2355016.36</v>
      </c>
      <c r="G30" s="44">
        <v>2422483.36</v>
      </c>
      <c r="H30" s="113">
        <f t="shared" si="0"/>
        <v>41800</v>
      </c>
      <c r="I30" s="113">
        <f>D30+D31+D32</f>
        <v>2401616.36</v>
      </c>
      <c r="J30" s="350" t="s">
        <v>869</v>
      </c>
      <c r="K30" s="55"/>
    </row>
    <row r="31" spans="1:11" ht="12.75">
      <c r="A31" s="8" t="s">
        <v>888</v>
      </c>
      <c r="B31" s="8" t="s">
        <v>889</v>
      </c>
      <c r="C31" s="44">
        <v>95300</v>
      </c>
      <c r="D31" s="44">
        <v>300</v>
      </c>
      <c r="E31" s="44">
        <v>300</v>
      </c>
      <c r="F31" s="44">
        <v>300</v>
      </c>
      <c r="G31" s="44">
        <v>95300</v>
      </c>
      <c r="H31" s="113">
        <f t="shared" si="0"/>
        <v>0</v>
      </c>
      <c r="I31" s="55"/>
      <c r="J31" s="55"/>
      <c r="K31" s="55"/>
    </row>
    <row r="32" spans="1:11" ht="12.75">
      <c r="A32" s="8" t="s">
        <v>752</v>
      </c>
      <c r="B32" s="8" t="s">
        <v>753</v>
      </c>
      <c r="C32" s="44">
        <v>4500</v>
      </c>
      <c r="D32" s="44">
        <v>4500</v>
      </c>
      <c r="E32" s="44">
        <v>4500</v>
      </c>
      <c r="F32" s="44">
        <v>4500</v>
      </c>
      <c r="G32" s="44">
        <v>4500</v>
      </c>
      <c r="H32" s="113">
        <f t="shared" si="0"/>
        <v>0</v>
      </c>
      <c r="I32" s="55"/>
      <c r="J32" s="55"/>
      <c r="K32" s="55"/>
    </row>
    <row r="33" spans="1:11" ht="12.75">
      <c r="A33" s="8" t="s">
        <v>754</v>
      </c>
      <c r="B33" s="8" t="s">
        <v>755</v>
      </c>
      <c r="C33" s="44">
        <v>8646632.38</v>
      </c>
      <c r="D33" s="44">
        <v>8614947.58</v>
      </c>
      <c r="E33" s="44">
        <v>8614947.58</v>
      </c>
      <c r="F33" s="44">
        <v>8299108.17</v>
      </c>
      <c r="G33" s="44">
        <v>12312342.18</v>
      </c>
      <c r="H33" s="113">
        <f t="shared" si="0"/>
        <v>315839.41000000015</v>
      </c>
      <c r="I33" s="113">
        <f>D33+D34+D35+D36</f>
        <v>12307958.700000001</v>
      </c>
      <c r="J33" s="350" t="s">
        <v>918</v>
      </c>
      <c r="K33" s="55"/>
    </row>
    <row r="34" spans="1:11" ht="12.75">
      <c r="A34" s="8" t="s">
        <v>904</v>
      </c>
      <c r="B34" s="8" t="s">
        <v>905</v>
      </c>
      <c r="C34" s="44">
        <v>488443.3</v>
      </c>
      <c r="D34" s="44">
        <v>488443.3</v>
      </c>
      <c r="E34" s="44">
        <v>488443.3</v>
      </c>
      <c r="F34" s="44">
        <v>0</v>
      </c>
      <c r="G34" s="44">
        <v>505000</v>
      </c>
      <c r="H34" s="113">
        <f t="shared" si="0"/>
        <v>488443.3</v>
      </c>
      <c r="I34" s="55"/>
      <c r="J34" s="55"/>
      <c r="K34" s="55"/>
    </row>
    <row r="35" spans="1:11" ht="12.75">
      <c r="A35" s="8" t="s">
        <v>756</v>
      </c>
      <c r="B35" s="8" t="s">
        <v>757</v>
      </c>
      <c r="C35" s="44">
        <v>175230</v>
      </c>
      <c r="D35" s="44">
        <v>175230</v>
      </c>
      <c r="E35" s="44">
        <v>175230</v>
      </c>
      <c r="F35" s="44">
        <v>175230</v>
      </c>
      <c r="G35" s="44">
        <v>175230</v>
      </c>
      <c r="H35" s="113">
        <f t="shared" si="0"/>
        <v>0</v>
      </c>
      <c r="I35" s="55"/>
      <c r="J35" s="55"/>
      <c r="K35" s="55"/>
    </row>
    <row r="36" spans="1:11" ht="12.75">
      <c r="A36" s="8" t="s">
        <v>758</v>
      </c>
      <c r="B36" s="8" t="s">
        <v>759</v>
      </c>
      <c r="C36" s="44">
        <v>3430496.52</v>
      </c>
      <c r="D36" s="44">
        <v>3029337.82</v>
      </c>
      <c r="E36" s="44">
        <v>3029337.82</v>
      </c>
      <c r="F36" s="44">
        <v>2669324.07</v>
      </c>
      <c r="G36" s="44">
        <v>4083585.32</v>
      </c>
      <c r="H36" s="113">
        <f t="shared" si="0"/>
        <v>360013.75</v>
      </c>
      <c r="I36" s="55"/>
      <c r="J36" s="55"/>
      <c r="K36" s="55"/>
    </row>
    <row r="37" spans="1:11" ht="12.75">
      <c r="A37" s="8" t="s">
        <v>760</v>
      </c>
      <c r="B37" s="8" t="s">
        <v>761</v>
      </c>
      <c r="C37" s="44">
        <v>1512621.89</v>
      </c>
      <c r="D37" s="44">
        <v>1512621.89</v>
      </c>
      <c r="E37" s="44">
        <v>1512621.89</v>
      </c>
      <c r="F37" s="44">
        <v>1512621.89</v>
      </c>
      <c r="G37" s="44">
        <v>1512621.89</v>
      </c>
      <c r="H37" s="113">
        <f t="shared" si="0"/>
        <v>0</v>
      </c>
      <c r="I37" s="344">
        <f>G37</f>
        <v>1512621.89</v>
      </c>
      <c r="J37" s="350" t="s">
        <v>17</v>
      </c>
      <c r="K37" s="55"/>
    </row>
    <row r="38" spans="1:11" ht="12.75">
      <c r="A38" s="8" t="s">
        <v>762</v>
      </c>
      <c r="B38" s="8" t="s">
        <v>763</v>
      </c>
      <c r="C38" s="44">
        <v>713768.72</v>
      </c>
      <c r="D38" s="44">
        <v>713768.72</v>
      </c>
      <c r="E38" s="44">
        <v>713768.72</v>
      </c>
      <c r="F38" s="44">
        <v>713768.72</v>
      </c>
      <c r="G38" s="44">
        <v>952966.66</v>
      </c>
      <c r="H38" s="113">
        <f t="shared" si="0"/>
        <v>0</v>
      </c>
      <c r="I38" s="113">
        <f>D38+D39+D40+D41+D42</f>
        <v>1842375.9399999997</v>
      </c>
      <c r="J38" s="350" t="s">
        <v>919</v>
      </c>
      <c r="K38" s="55"/>
    </row>
    <row r="39" spans="1:11" ht="12.75">
      <c r="A39" s="8" t="s">
        <v>764</v>
      </c>
      <c r="B39" s="8" t="s">
        <v>765</v>
      </c>
      <c r="C39" s="44">
        <v>3657649.64</v>
      </c>
      <c r="D39" s="44">
        <v>729968.58</v>
      </c>
      <c r="E39" s="44">
        <v>729968.58</v>
      </c>
      <c r="F39" s="44">
        <v>729968.58</v>
      </c>
      <c r="G39" s="44">
        <v>3669465.64</v>
      </c>
      <c r="H39" s="113">
        <f t="shared" si="0"/>
        <v>0</v>
      </c>
      <c r="I39" s="55"/>
      <c r="J39" s="55"/>
      <c r="K39" s="55"/>
    </row>
    <row r="40" spans="1:11" ht="12.75">
      <c r="A40" s="8" t="s">
        <v>766</v>
      </c>
      <c r="B40" s="8" t="s">
        <v>767</v>
      </c>
      <c r="C40" s="44">
        <v>19433.94</v>
      </c>
      <c r="D40" s="44">
        <v>19433.94</v>
      </c>
      <c r="E40" s="44">
        <v>19433.94</v>
      </c>
      <c r="F40" s="44">
        <v>19433.94</v>
      </c>
      <c r="G40" s="44">
        <v>19433.94</v>
      </c>
      <c r="H40" s="113">
        <f t="shared" si="0"/>
        <v>0</v>
      </c>
      <c r="I40" s="55"/>
      <c r="J40" s="55"/>
      <c r="K40" s="55"/>
    </row>
    <row r="41" spans="1:11" ht="12.75">
      <c r="A41" s="8" t="s">
        <v>768</v>
      </c>
      <c r="B41" s="8" t="s">
        <v>769</v>
      </c>
      <c r="C41" s="44">
        <v>472534.7</v>
      </c>
      <c r="D41" s="44">
        <v>312534.7</v>
      </c>
      <c r="E41" s="44">
        <v>312534.7</v>
      </c>
      <c r="F41" s="44">
        <v>275497.87</v>
      </c>
      <c r="G41" s="44">
        <v>486164.7</v>
      </c>
      <c r="H41" s="113">
        <f t="shared" si="0"/>
        <v>37036.830000000016</v>
      </c>
      <c r="I41" s="55"/>
      <c r="J41" s="55"/>
      <c r="K41" s="55"/>
    </row>
    <row r="42" spans="1:11" ht="12.75">
      <c r="A42" s="8" t="s">
        <v>770</v>
      </c>
      <c r="B42" s="8" t="s">
        <v>771</v>
      </c>
      <c r="C42" s="44">
        <v>66670</v>
      </c>
      <c r="D42" s="44">
        <v>66670</v>
      </c>
      <c r="E42" s="44">
        <v>66670</v>
      </c>
      <c r="F42" s="44">
        <v>0</v>
      </c>
      <c r="G42" s="44">
        <v>66670</v>
      </c>
      <c r="H42" s="113">
        <f t="shared" si="0"/>
        <v>66670</v>
      </c>
      <c r="I42" s="55"/>
      <c r="J42" s="55"/>
      <c r="K42" s="55"/>
    </row>
    <row r="43" spans="1:11" ht="12.75">
      <c r="A43" s="8" t="s">
        <v>772</v>
      </c>
      <c r="B43" s="8" t="s">
        <v>773</v>
      </c>
      <c r="C43" s="44">
        <v>50991.64</v>
      </c>
      <c r="D43" s="44">
        <v>50991.64</v>
      </c>
      <c r="E43" s="44">
        <v>50991.64</v>
      </c>
      <c r="F43" s="44">
        <v>50991.64</v>
      </c>
      <c r="G43" s="44">
        <v>51991.64</v>
      </c>
      <c r="H43" s="113">
        <f t="shared" si="0"/>
        <v>0</v>
      </c>
      <c r="I43" s="55"/>
      <c r="J43" s="55"/>
      <c r="K43" s="55"/>
    </row>
    <row r="44" spans="1:11" ht="12.75">
      <c r="A44" s="8" t="s">
        <v>774</v>
      </c>
      <c r="B44" s="8" t="s">
        <v>775</v>
      </c>
      <c r="C44" s="44">
        <v>119180</v>
      </c>
      <c r="D44" s="44">
        <v>119180</v>
      </c>
      <c r="E44" s="44">
        <v>119180</v>
      </c>
      <c r="F44" s="44">
        <v>119180</v>
      </c>
      <c r="G44" s="44">
        <v>119180</v>
      </c>
      <c r="H44" s="113">
        <f t="shared" si="0"/>
        <v>0</v>
      </c>
      <c r="I44" s="55"/>
      <c r="J44" s="55"/>
      <c r="K44" s="55"/>
    </row>
    <row r="45" spans="1:11" ht="12.75">
      <c r="A45" s="8" t="s">
        <v>776</v>
      </c>
      <c r="B45" s="8" t="s">
        <v>777</v>
      </c>
      <c r="C45" s="44">
        <v>5449589.94</v>
      </c>
      <c r="D45" s="44">
        <v>5074481.94</v>
      </c>
      <c r="E45" s="44">
        <v>5074481.94</v>
      </c>
      <c r="F45" s="44">
        <v>5074481.94</v>
      </c>
      <c r="G45" s="44">
        <v>5799479.94</v>
      </c>
      <c r="H45" s="113">
        <f t="shared" si="0"/>
        <v>0</v>
      </c>
      <c r="I45" s="55"/>
      <c r="J45" s="55"/>
      <c r="K45" s="55"/>
    </row>
    <row r="46" spans="1:11" ht="12.75">
      <c r="A46" s="8" t="s">
        <v>778</v>
      </c>
      <c r="B46" s="8" t="s">
        <v>779</v>
      </c>
      <c r="C46" s="44">
        <v>271666.67</v>
      </c>
      <c r="D46" s="44">
        <v>271666.67</v>
      </c>
      <c r="E46" s="44">
        <v>271666.67</v>
      </c>
      <c r="F46" s="44">
        <v>271666.67</v>
      </c>
      <c r="G46" s="44">
        <v>271666.67</v>
      </c>
      <c r="H46" s="113">
        <f t="shared" si="0"/>
        <v>0</v>
      </c>
      <c r="I46" s="55"/>
      <c r="J46" s="55"/>
      <c r="K46" s="55"/>
    </row>
    <row r="47" spans="1:11" ht="12.75">
      <c r="A47" s="8" t="s">
        <v>780</v>
      </c>
      <c r="B47" s="8" t="s">
        <v>781</v>
      </c>
      <c r="C47" s="44">
        <v>413000</v>
      </c>
      <c r="D47" s="44">
        <v>413000</v>
      </c>
      <c r="E47" s="44">
        <v>413000</v>
      </c>
      <c r="F47" s="44">
        <v>345150</v>
      </c>
      <c r="G47" s="44">
        <v>413000</v>
      </c>
      <c r="H47" s="113">
        <f t="shared" si="0"/>
        <v>67850</v>
      </c>
      <c r="I47" s="55"/>
      <c r="J47" s="55"/>
      <c r="K47" s="55"/>
    </row>
    <row r="48" spans="1:11" ht="12.75">
      <c r="A48" s="8" t="s">
        <v>782</v>
      </c>
      <c r="B48" s="8" t="s">
        <v>783</v>
      </c>
      <c r="C48" s="44">
        <v>777057.5</v>
      </c>
      <c r="D48" s="44">
        <v>777057.5</v>
      </c>
      <c r="E48" s="44">
        <v>777057.5</v>
      </c>
      <c r="F48" s="44">
        <v>709787</v>
      </c>
      <c r="G48" s="44">
        <v>1097057.5</v>
      </c>
      <c r="H48" s="113">
        <f t="shared" si="0"/>
        <v>67270.5</v>
      </c>
      <c r="I48" s="55"/>
      <c r="J48" s="55"/>
      <c r="K48" s="55"/>
    </row>
    <row r="49" spans="1:11" ht="12.75">
      <c r="A49" s="8" t="s">
        <v>784</v>
      </c>
      <c r="B49" s="8" t="s">
        <v>785</v>
      </c>
      <c r="C49" s="44">
        <v>1000350.9</v>
      </c>
      <c r="D49" s="44">
        <v>1000350.9</v>
      </c>
      <c r="E49" s="44">
        <v>1000350.9</v>
      </c>
      <c r="F49" s="44">
        <v>1000350.9</v>
      </c>
      <c r="G49" s="44">
        <v>1000350.9</v>
      </c>
      <c r="H49" s="113">
        <f t="shared" si="0"/>
        <v>0</v>
      </c>
      <c r="I49" s="55"/>
      <c r="J49" s="55"/>
      <c r="K49" s="55"/>
    </row>
    <row r="50" spans="1:11" ht="12.75">
      <c r="A50" s="8" t="s">
        <v>786</v>
      </c>
      <c r="B50" s="8" t="s">
        <v>787</v>
      </c>
      <c r="C50" s="44">
        <v>10864226.42</v>
      </c>
      <c r="D50" s="44">
        <v>7873149.82</v>
      </c>
      <c r="E50" s="44">
        <v>7873149.82</v>
      </c>
      <c r="F50" s="44">
        <v>7214149.82</v>
      </c>
      <c r="G50" s="44">
        <v>10957836.58</v>
      </c>
      <c r="H50" s="113">
        <f t="shared" si="0"/>
        <v>659000</v>
      </c>
      <c r="I50" s="55"/>
      <c r="J50" s="55"/>
      <c r="K50" s="55"/>
    </row>
    <row r="51" spans="1:11" ht="12.75">
      <c r="A51" s="8" t="s">
        <v>788</v>
      </c>
      <c r="B51" s="8" t="s">
        <v>789</v>
      </c>
      <c r="C51" s="44">
        <v>480757.07</v>
      </c>
      <c r="D51" s="44">
        <v>480757.07</v>
      </c>
      <c r="E51" s="44">
        <v>480757.07</v>
      </c>
      <c r="F51" s="44">
        <v>480757.07</v>
      </c>
      <c r="G51" s="44">
        <v>482257.07</v>
      </c>
      <c r="H51" s="113">
        <f t="shared" si="0"/>
        <v>0</v>
      </c>
      <c r="I51" s="55"/>
      <c r="J51" s="55"/>
      <c r="K51" s="55"/>
    </row>
    <row r="52" spans="1:11" ht="12.75">
      <c r="A52" s="8" t="s">
        <v>920</v>
      </c>
      <c r="B52" s="8" t="s">
        <v>921</v>
      </c>
      <c r="C52" s="44">
        <v>80277.12</v>
      </c>
      <c r="D52" s="44">
        <v>80277.12</v>
      </c>
      <c r="E52" s="44">
        <v>80277.12</v>
      </c>
      <c r="F52" s="44">
        <v>0</v>
      </c>
      <c r="G52" s="44">
        <v>80277.12</v>
      </c>
      <c r="H52" s="113">
        <f t="shared" si="0"/>
        <v>80277.12</v>
      </c>
      <c r="I52" s="55"/>
      <c r="J52" s="55"/>
      <c r="K52" s="55"/>
    </row>
    <row r="53" spans="1:11" ht="12.75">
      <c r="A53" s="8" t="s">
        <v>790</v>
      </c>
      <c r="B53" s="8" t="s">
        <v>791</v>
      </c>
      <c r="C53" s="44">
        <v>15244051.03</v>
      </c>
      <c r="D53" s="44">
        <v>13085207.62</v>
      </c>
      <c r="E53" s="44">
        <v>13085207.62</v>
      </c>
      <c r="F53" s="44">
        <v>12731226.62</v>
      </c>
      <c r="G53" s="44">
        <v>16561953.71</v>
      </c>
      <c r="H53" s="113">
        <f t="shared" si="0"/>
        <v>353981</v>
      </c>
      <c r="I53" s="113">
        <f>D53+D54</f>
        <v>13246507.62</v>
      </c>
      <c r="J53" s="350" t="s">
        <v>922</v>
      </c>
      <c r="K53" s="55"/>
    </row>
    <row r="54" spans="1:11" ht="12.75">
      <c r="A54" s="8" t="s">
        <v>792</v>
      </c>
      <c r="B54" s="8" t="s">
        <v>793</v>
      </c>
      <c r="C54" s="44">
        <v>161300</v>
      </c>
      <c r="D54" s="44">
        <v>161300</v>
      </c>
      <c r="E54" s="44">
        <v>161300</v>
      </c>
      <c r="F54" s="44">
        <v>140060</v>
      </c>
      <c r="G54" s="44">
        <v>161300</v>
      </c>
      <c r="H54" s="113">
        <f t="shared" si="0"/>
        <v>21240</v>
      </c>
      <c r="I54" s="113">
        <f>D55+D56+D57</f>
        <v>2437305.39</v>
      </c>
      <c r="J54" s="350" t="s">
        <v>909</v>
      </c>
      <c r="K54" s="55"/>
    </row>
    <row r="55" spans="1:11" ht="12.75">
      <c r="A55" s="8" t="s">
        <v>794</v>
      </c>
      <c r="B55" s="8" t="s">
        <v>795</v>
      </c>
      <c r="C55" s="44">
        <v>42854.35</v>
      </c>
      <c r="D55" s="44">
        <v>42854.35</v>
      </c>
      <c r="E55" s="44">
        <v>42854.35</v>
      </c>
      <c r="F55" s="44">
        <v>42854.35</v>
      </c>
      <c r="G55" s="44">
        <v>47790</v>
      </c>
      <c r="H55" s="113">
        <f t="shared" si="0"/>
        <v>0</v>
      </c>
      <c r="I55" s="113">
        <f>D58+D59+D60</f>
        <v>1939986.7200000002</v>
      </c>
      <c r="J55" s="350" t="s">
        <v>923</v>
      </c>
      <c r="K55" s="55"/>
    </row>
    <row r="56" spans="1:11" ht="12.75">
      <c r="A56" s="8" t="s">
        <v>796</v>
      </c>
      <c r="B56" s="8" t="s">
        <v>797</v>
      </c>
      <c r="C56" s="44">
        <v>100175</v>
      </c>
      <c r="D56" s="44">
        <v>100174.96</v>
      </c>
      <c r="E56" s="44">
        <v>100174.96</v>
      </c>
      <c r="F56" s="44">
        <v>100174.96</v>
      </c>
      <c r="G56" s="44">
        <v>100175</v>
      </c>
      <c r="H56" s="113">
        <f t="shared" si="0"/>
        <v>0</v>
      </c>
      <c r="I56" s="44">
        <v>1232.87</v>
      </c>
      <c r="J56" s="350" t="s">
        <v>924</v>
      </c>
      <c r="K56" s="55"/>
    </row>
    <row r="57" spans="1:11" ht="12.75">
      <c r="A57" s="8" t="s">
        <v>798</v>
      </c>
      <c r="B57" s="8" t="s">
        <v>799</v>
      </c>
      <c r="C57" s="44">
        <v>3213201.08</v>
      </c>
      <c r="D57" s="44">
        <v>2294276.08</v>
      </c>
      <c r="E57" s="44">
        <v>2294276.08</v>
      </c>
      <c r="F57" s="44">
        <v>2294276.08</v>
      </c>
      <c r="G57" s="44">
        <v>3944751.68</v>
      </c>
      <c r="H57" s="113">
        <f t="shared" si="0"/>
        <v>0</v>
      </c>
      <c r="I57" s="55"/>
      <c r="J57" s="55"/>
      <c r="K57" s="55"/>
    </row>
    <row r="58" spans="1:11" ht="12.75">
      <c r="A58" s="8" t="s">
        <v>800</v>
      </c>
      <c r="B58" s="8" t="s">
        <v>801</v>
      </c>
      <c r="C58" s="44">
        <v>547714.6</v>
      </c>
      <c r="D58" s="44">
        <v>547714.6</v>
      </c>
      <c r="E58" s="44">
        <v>547714.6</v>
      </c>
      <c r="F58" s="44">
        <v>414728.58</v>
      </c>
      <c r="G58" s="44">
        <v>726218.16</v>
      </c>
      <c r="H58" s="113">
        <f t="shared" si="0"/>
        <v>132986.01999999996</v>
      </c>
      <c r="I58" s="55"/>
      <c r="J58" s="55"/>
      <c r="K58" s="55"/>
    </row>
    <row r="59" spans="1:11" ht="12.75">
      <c r="A59" s="8" t="s">
        <v>802</v>
      </c>
      <c r="B59" s="8" t="s">
        <v>803</v>
      </c>
      <c r="C59" s="44">
        <v>1275087.12</v>
      </c>
      <c r="D59" s="44">
        <v>1275087.12</v>
      </c>
      <c r="E59" s="44">
        <v>1275087.12</v>
      </c>
      <c r="F59" s="44">
        <v>1252785.12</v>
      </c>
      <c r="G59" s="44">
        <v>1343380.17</v>
      </c>
      <c r="H59" s="113">
        <f t="shared" si="0"/>
        <v>22302</v>
      </c>
      <c r="I59" s="55"/>
      <c r="J59" s="55"/>
      <c r="K59" s="55"/>
    </row>
    <row r="60" spans="1:11" ht="12.75">
      <c r="A60" s="8" t="s">
        <v>890</v>
      </c>
      <c r="B60" s="8" t="s">
        <v>891</v>
      </c>
      <c r="C60" s="44">
        <v>117185</v>
      </c>
      <c r="D60" s="44">
        <v>117185</v>
      </c>
      <c r="E60" s="44">
        <v>117185</v>
      </c>
      <c r="F60" s="44">
        <v>117185</v>
      </c>
      <c r="G60" s="44">
        <v>122691.42</v>
      </c>
      <c r="H60" s="113">
        <f t="shared" si="0"/>
        <v>0</v>
      </c>
      <c r="I60" s="55"/>
      <c r="J60" s="55"/>
      <c r="K60" s="55"/>
    </row>
    <row r="61" spans="1:11" ht="12.75">
      <c r="A61" s="8" t="s">
        <v>804</v>
      </c>
      <c r="B61" s="8" t="s">
        <v>805</v>
      </c>
      <c r="C61" s="44">
        <v>1232.87</v>
      </c>
      <c r="D61" s="44">
        <v>1232.87</v>
      </c>
      <c r="E61" s="44">
        <v>1232.87</v>
      </c>
      <c r="F61" s="44">
        <v>1232.87</v>
      </c>
      <c r="G61" s="44">
        <v>1232.87</v>
      </c>
      <c r="H61" s="113">
        <f t="shared" si="0"/>
        <v>0</v>
      </c>
      <c r="I61" s="55"/>
      <c r="J61" s="55"/>
      <c r="K61" s="55"/>
    </row>
    <row r="62" spans="1:11" ht="12.75">
      <c r="A62" s="8" t="s">
        <v>806</v>
      </c>
      <c r="B62" s="8" t="s">
        <v>807</v>
      </c>
      <c r="C62" s="44">
        <v>361946.01</v>
      </c>
      <c r="D62" s="44">
        <v>291146.01</v>
      </c>
      <c r="E62" s="44">
        <v>291146.01</v>
      </c>
      <c r="F62" s="44">
        <v>291146.01</v>
      </c>
      <c r="G62" s="44">
        <v>364446.01</v>
      </c>
      <c r="H62" s="113">
        <f t="shared" si="0"/>
        <v>0</v>
      </c>
      <c r="I62" s="113">
        <f>D62+D63+D64</f>
        <v>1412898.45</v>
      </c>
      <c r="J62" s="350" t="s">
        <v>925</v>
      </c>
      <c r="K62" s="55"/>
    </row>
    <row r="63" spans="1:11" ht="12.75">
      <c r="A63" s="8" t="s">
        <v>808</v>
      </c>
      <c r="B63" s="8" t="s">
        <v>809</v>
      </c>
      <c r="C63" s="44">
        <v>3717</v>
      </c>
      <c r="D63" s="44">
        <v>3717</v>
      </c>
      <c r="E63" s="44">
        <v>3717</v>
      </c>
      <c r="F63" s="44">
        <v>3717</v>
      </c>
      <c r="G63" s="44">
        <v>3717</v>
      </c>
      <c r="H63" s="113">
        <f t="shared" si="0"/>
        <v>0</v>
      </c>
      <c r="I63" s="113">
        <f>D65+D66</f>
        <v>497588.63</v>
      </c>
      <c r="J63" s="350" t="s">
        <v>926</v>
      </c>
      <c r="K63" s="55"/>
    </row>
    <row r="64" spans="1:11" ht="12.75">
      <c r="A64" s="8" t="s">
        <v>810</v>
      </c>
      <c r="B64" s="8" t="s">
        <v>811</v>
      </c>
      <c r="C64" s="44">
        <v>1118035.44</v>
      </c>
      <c r="D64" s="44">
        <v>1118035.44</v>
      </c>
      <c r="E64" s="44">
        <v>1118035.44</v>
      </c>
      <c r="F64" s="44">
        <v>1114292.15</v>
      </c>
      <c r="G64" s="44">
        <v>1126479.91</v>
      </c>
      <c r="H64" s="113">
        <f t="shared" si="0"/>
        <v>3743.2900000000373</v>
      </c>
      <c r="I64" s="55"/>
      <c r="J64" s="55"/>
      <c r="K64" s="55"/>
    </row>
    <row r="65" spans="1:11" ht="12.75">
      <c r="A65" s="8" t="s">
        <v>812</v>
      </c>
      <c r="B65" s="8" t="s">
        <v>813</v>
      </c>
      <c r="C65" s="44">
        <v>198989.63</v>
      </c>
      <c r="D65" s="44">
        <v>198989.63</v>
      </c>
      <c r="E65" s="44">
        <v>198989.63</v>
      </c>
      <c r="F65" s="44">
        <v>198989.63</v>
      </c>
      <c r="G65" s="44">
        <v>215768.01</v>
      </c>
      <c r="H65" s="113">
        <f t="shared" si="0"/>
        <v>0</v>
      </c>
      <c r="I65" s="55"/>
      <c r="J65" s="55"/>
      <c r="K65" s="55"/>
    </row>
    <row r="66" spans="1:11" ht="12.75">
      <c r="A66" s="8" t="s">
        <v>814</v>
      </c>
      <c r="B66" s="8" t="s">
        <v>815</v>
      </c>
      <c r="C66" s="44">
        <v>298599</v>
      </c>
      <c r="D66" s="44">
        <v>298599</v>
      </c>
      <c r="E66" s="44">
        <v>298599</v>
      </c>
      <c r="F66" s="44">
        <v>298599</v>
      </c>
      <c r="G66" s="44">
        <v>298599</v>
      </c>
      <c r="H66" s="113">
        <f t="shared" si="0"/>
        <v>0</v>
      </c>
      <c r="I66" s="113">
        <f>D67+D68+D69+D70+D71</f>
        <v>7325995.13</v>
      </c>
      <c r="J66" s="350" t="s">
        <v>927</v>
      </c>
      <c r="K66" s="55"/>
    </row>
    <row r="67" spans="1:11" ht="12.75">
      <c r="A67" s="8" t="s">
        <v>816</v>
      </c>
      <c r="B67" s="8" t="s">
        <v>817</v>
      </c>
      <c r="C67" s="44">
        <v>7972723</v>
      </c>
      <c r="D67" s="44">
        <v>7243723</v>
      </c>
      <c r="E67" s="44">
        <v>7243723</v>
      </c>
      <c r="F67" s="44">
        <v>6514723</v>
      </c>
      <c r="G67" s="44">
        <v>8772723</v>
      </c>
      <c r="H67" s="113">
        <f t="shared" si="0"/>
        <v>729000</v>
      </c>
      <c r="I67" s="55"/>
      <c r="J67" s="55"/>
      <c r="K67" s="55"/>
    </row>
    <row r="68" spans="1:11" ht="12.75">
      <c r="A68" s="8" t="s">
        <v>818</v>
      </c>
      <c r="B68" s="8" t="s">
        <v>819</v>
      </c>
      <c r="C68" s="44">
        <v>12598.5</v>
      </c>
      <c r="D68" s="44">
        <v>12598.5</v>
      </c>
      <c r="E68" s="44">
        <v>12598.5</v>
      </c>
      <c r="F68" s="44">
        <v>12598.5</v>
      </c>
      <c r="G68" s="44">
        <v>15098.5</v>
      </c>
      <c r="H68" s="113">
        <f t="shared" si="0"/>
        <v>0</v>
      </c>
      <c r="I68" s="55"/>
      <c r="J68" s="55"/>
      <c r="K68" s="55"/>
    </row>
    <row r="69" spans="1:11" ht="12.75">
      <c r="A69" s="8" t="s">
        <v>820</v>
      </c>
      <c r="B69" s="8" t="s">
        <v>821</v>
      </c>
      <c r="C69" s="44">
        <v>65272.68</v>
      </c>
      <c r="D69" s="44">
        <v>65272.68</v>
      </c>
      <c r="E69" s="44">
        <v>65272.68</v>
      </c>
      <c r="F69" s="44">
        <v>65272.68</v>
      </c>
      <c r="G69" s="44">
        <v>75450.26</v>
      </c>
      <c r="H69" s="113">
        <f t="shared" si="0"/>
        <v>0</v>
      </c>
      <c r="I69" s="55"/>
      <c r="J69" s="55"/>
      <c r="K69" s="55"/>
    </row>
    <row r="70" spans="1:11" ht="12.75">
      <c r="A70" s="8" t="s">
        <v>822</v>
      </c>
      <c r="B70" s="8" t="s">
        <v>823</v>
      </c>
      <c r="C70" s="44">
        <v>3951</v>
      </c>
      <c r="D70" s="44">
        <v>3951</v>
      </c>
      <c r="E70" s="44">
        <v>3951</v>
      </c>
      <c r="F70" s="44">
        <v>3951</v>
      </c>
      <c r="G70" s="44">
        <v>4451</v>
      </c>
      <c r="H70" s="113">
        <f t="shared" si="0"/>
        <v>0</v>
      </c>
      <c r="I70" s="55"/>
      <c r="J70" s="55"/>
      <c r="K70" s="55"/>
    </row>
    <row r="71" spans="1:11" ht="12.75">
      <c r="A71" s="8" t="s">
        <v>928</v>
      </c>
      <c r="B71" s="8" t="s">
        <v>929</v>
      </c>
      <c r="C71" s="44">
        <v>449.95</v>
      </c>
      <c r="D71" s="44">
        <v>449.95</v>
      </c>
      <c r="E71" s="44">
        <v>449.95</v>
      </c>
      <c r="F71" s="44">
        <v>449.95</v>
      </c>
      <c r="G71" s="44">
        <v>449.95</v>
      </c>
      <c r="H71" s="113">
        <f t="shared" si="0"/>
        <v>0</v>
      </c>
      <c r="I71" s="55"/>
      <c r="J71" s="55"/>
      <c r="K71" s="55"/>
    </row>
    <row r="72" spans="1:11" ht="12.75">
      <c r="A72" s="8" t="s">
        <v>930</v>
      </c>
      <c r="B72" s="8" t="s">
        <v>931</v>
      </c>
      <c r="C72" s="44">
        <v>0</v>
      </c>
      <c r="D72" s="44">
        <v>0</v>
      </c>
      <c r="E72" s="44">
        <v>0</v>
      </c>
      <c r="F72" s="44">
        <v>0</v>
      </c>
      <c r="G72" s="44">
        <v>195571</v>
      </c>
      <c r="H72" s="113">
        <f t="shared" si="0"/>
        <v>0</v>
      </c>
      <c r="I72" s="55"/>
      <c r="J72" s="55"/>
      <c r="K72" s="55"/>
    </row>
    <row r="73" spans="1:11" ht="12.75">
      <c r="A73" s="8" t="s">
        <v>824</v>
      </c>
      <c r="B73" s="8" t="s">
        <v>825</v>
      </c>
      <c r="C73" s="44">
        <v>305362</v>
      </c>
      <c r="D73" s="44">
        <v>305362</v>
      </c>
      <c r="E73" s="44">
        <v>305362</v>
      </c>
      <c r="F73" s="44">
        <v>305362</v>
      </c>
      <c r="G73" s="44">
        <v>306362</v>
      </c>
      <c r="H73" s="113">
        <f t="shared" si="0"/>
        <v>0</v>
      </c>
      <c r="I73" s="55"/>
      <c r="J73" s="55"/>
      <c r="K73" s="55"/>
    </row>
    <row r="74" spans="1:11" ht="12.75">
      <c r="A74" s="8" t="s">
        <v>826</v>
      </c>
      <c r="B74" s="8" t="s">
        <v>827</v>
      </c>
      <c r="C74" s="44">
        <v>2126398.79</v>
      </c>
      <c r="D74" s="44">
        <v>1847033.79</v>
      </c>
      <c r="E74" s="44">
        <v>1847033.79</v>
      </c>
      <c r="F74" s="44">
        <v>1728089.79</v>
      </c>
      <c r="G74" s="44">
        <v>2348204.62</v>
      </c>
      <c r="H74" s="113">
        <f t="shared" si="0"/>
        <v>118944</v>
      </c>
      <c r="I74" s="55"/>
      <c r="J74" s="55"/>
      <c r="K74" s="55"/>
    </row>
    <row r="75" spans="1:11" ht="12.75">
      <c r="A75" s="8" t="s">
        <v>828</v>
      </c>
      <c r="B75" s="8" t="s">
        <v>829</v>
      </c>
      <c r="C75" s="44">
        <v>177397.63</v>
      </c>
      <c r="D75" s="44">
        <v>177397.63</v>
      </c>
      <c r="E75" s="44">
        <v>177397.63</v>
      </c>
      <c r="F75" s="44">
        <v>97977.59</v>
      </c>
      <c r="G75" s="44">
        <v>183000</v>
      </c>
      <c r="H75" s="113">
        <f aca="true" t="shared" si="1" ref="H75:H94">D75-F75</f>
        <v>79420.04000000001</v>
      </c>
      <c r="I75" s="55"/>
      <c r="J75" s="55"/>
      <c r="K75" s="55"/>
    </row>
    <row r="76" spans="1:11" ht="12.75">
      <c r="A76" s="8" t="s">
        <v>830</v>
      </c>
      <c r="B76" s="8" t="s">
        <v>831</v>
      </c>
      <c r="C76" s="44">
        <v>117679.95</v>
      </c>
      <c r="D76" s="44">
        <v>859.95</v>
      </c>
      <c r="E76" s="44">
        <v>859.95</v>
      </c>
      <c r="F76" s="44">
        <v>859.95</v>
      </c>
      <c r="G76" s="44">
        <v>117679.95</v>
      </c>
      <c r="H76" s="113">
        <f t="shared" si="1"/>
        <v>0</v>
      </c>
      <c r="I76" s="55"/>
      <c r="J76" s="55"/>
      <c r="K76" s="55"/>
    </row>
    <row r="77" spans="1:11" ht="12.75">
      <c r="A77" s="8" t="s">
        <v>832</v>
      </c>
      <c r="B77" s="8" t="s">
        <v>833</v>
      </c>
      <c r="C77" s="44">
        <v>260049.05</v>
      </c>
      <c r="D77" s="44">
        <v>254469.05</v>
      </c>
      <c r="E77" s="44">
        <v>254469.05</v>
      </c>
      <c r="F77" s="44">
        <v>231035.05</v>
      </c>
      <c r="G77" s="44">
        <v>489826.97</v>
      </c>
      <c r="H77" s="113">
        <f t="shared" si="1"/>
        <v>23434</v>
      </c>
      <c r="I77" s="55"/>
      <c r="J77" s="55"/>
      <c r="K77" s="55"/>
    </row>
    <row r="78" spans="1:11" ht="12.75">
      <c r="A78" s="8" t="s">
        <v>834</v>
      </c>
      <c r="B78" s="8" t="s">
        <v>835</v>
      </c>
      <c r="C78" s="44">
        <v>171165.95</v>
      </c>
      <c r="D78" s="44">
        <v>158659.75</v>
      </c>
      <c r="E78" s="44">
        <v>158659.75</v>
      </c>
      <c r="F78" s="44">
        <v>158659.75</v>
      </c>
      <c r="G78" s="44">
        <v>224808.95</v>
      </c>
      <c r="H78" s="113">
        <f t="shared" si="1"/>
        <v>0</v>
      </c>
      <c r="I78" s="55"/>
      <c r="J78" s="55"/>
      <c r="K78" s="55"/>
    </row>
    <row r="79" spans="1:11" ht="12.75">
      <c r="A79" s="8" t="s">
        <v>836</v>
      </c>
      <c r="B79" s="8" t="s">
        <v>837</v>
      </c>
      <c r="C79" s="44">
        <v>1138121.78</v>
      </c>
      <c r="D79" s="44">
        <v>1138121.78</v>
      </c>
      <c r="E79" s="44">
        <v>1138121.78</v>
      </c>
      <c r="F79" s="44">
        <v>1020121.78</v>
      </c>
      <c r="G79" s="44">
        <v>1149130.8</v>
      </c>
      <c r="H79" s="113">
        <f t="shared" si="1"/>
        <v>118000</v>
      </c>
      <c r="I79" s="55"/>
      <c r="J79" s="55"/>
      <c r="K79" s="55"/>
    </row>
    <row r="80" spans="1:11" ht="12.75">
      <c r="A80" s="8" t="s">
        <v>838</v>
      </c>
      <c r="B80" s="8" t="s">
        <v>839</v>
      </c>
      <c r="C80" s="44">
        <v>8500000</v>
      </c>
      <c r="D80" s="44">
        <v>8500000</v>
      </c>
      <c r="E80" s="44">
        <v>8500000</v>
      </c>
      <c r="F80" s="44">
        <v>8500000</v>
      </c>
      <c r="G80" s="44">
        <v>17200000</v>
      </c>
      <c r="H80" s="113">
        <f t="shared" si="1"/>
        <v>0</v>
      </c>
      <c r="I80" s="55"/>
      <c r="J80" s="55"/>
      <c r="K80" s="55"/>
    </row>
    <row r="81" spans="1:11" ht="12.75">
      <c r="A81" s="8" t="s">
        <v>840</v>
      </c>
      <c r="B81" s="8" t="s">
        <v>841</v>
      </c>
      <c r="C81" s="44">
        <v>1300000</v>
      </c>
      <c r="D81" s="44">
        <v>1300000</v>
      </c>
      <c r="E81" s="44">
        <v>1300000</v>
      </c>
      <c r="F81" s="44">
        <v>1300000</v>
      </c>
      <c r="G81" s="44">
        <v>1300000</v>
      </c>
      <c r="H81" s="113">
        <f t="shared" si="1"/>
        <v>0</v>
      </c>
      <c r="I81" s="55"/>
      <c r="J81" s="55"/>
      <c r="K81" s="55"/>
    </row>
    <row r="82" spans="1:11" ht="12.75">
      <c r="A82" s="8" t="s">
        <v>842</v>
      </c>
      <c r="B82" s="8" t="s">
        <v>843</v>
      </c>
      <c r="C82" s="44">
        <v>32033333.4</v>
      </c>
      <c r="D82" s="44">
        <v>32033333.4</v>
      </c>
      <c r="E82" s="44">
        <v>32033333.4</v>
      </c>
      <c r="F82" s="44">
        <v>32033333.4</v>
      </c>
      <c r="G82" s="44">
        <v>32033333.4</v>
      </c>
      <c r="H82" s="113">
        <f t="shared" si="1"/>
        <v>0</v>
      </c>
      <c r="I82" s="55"/>
      <c r="J82" s="55"/>
      <c r="K82" s="55"/>
    </row>
    <row r="83" spans="1:11" ht="12.75">
      <c r="A83" s="8" t="s">
        <v>932</v>
      </c>
      <c r="B83" s="8" t="s">
        <v>933</v>
      </c>
      <c r="C83" s="44">
        <v>216666.68</v>
      </c>
      <c r="D83" s="44">
        <v>216666.68</v>
      </c>
      <c r="E83" s="44">
        <v>216666.68</v>
      </c>
      <c r="F83" s="44">
        <v>216666.68</v>
      </c>
      <c r="G83" s="44">
        <v>216666.68</v>
      </c>
      <c r="H83" s="113">
        <f t="shared" si="1"/>
        <v>0</v>
      </c>
      <c r="I83" s="113">
        <f>C82+C83</f>
        <v>32250000.08</v>
      </c>
      <c r="J83" s="55"/>
      <c r="K83" s="55"/>
    </row>
    <row r="84" spans="1:11" ht="12.75">
      <c r="A84" s="8" t="s">
        <v>844</v>
      </c>
      <c r="B84" s="8" t="s">
        <v>845</v>
      </c>
      <c r="C84" s="44">
        <v>739500</v>
      </c>
      <c r="D84" s="44">
        <v>739500</v>
      </c>
      <c r="E84" s="44">
        <v>739500</v>
      </c>
      <c r="F84" s="44">
        <v>739500</v>
      </c>
      <c r="G84" s="44">
        <v>739500</v>
      </c>
      <c r="H84" s="113">
        <f t="shared" si="1"/>
        <v>0</v>
      </c>
      <c r="I84" s="55"/>
      <c r="J84" s="55"/>
      <c r="K84" s="55"/>
    </row>
    <row r="85" spans="1:11" ht="12.75">
      <c r="A85" s="8" t="s">
        <v>846</v>
      </c>
      <c r="B85" s="8" t="s">
        <v>847</v>
      </c>
      <c r="C85" s="44">
        <v>43654196</v>
      </c>
      <c r="D85" s="44">
        <v>43654196</v>
      </c>
      <c r="E85" s="44">
        <v>43654196</v>
      </c>
      <c r="F85" s="44">
        <v>43654196</v>
      </c>
      <c r="G85" s="44">
        <v>43654196</v>
      </c>
      <c r="H85" s="113">
        <f t="shared" si="1"/>
        <v>0</v>
      </c>
      <c r="I85" s="55"/>
      <c r="J85" s="55"/>
      <c r="K85" s="55"/>
    </row>
    <row r="86" spans="1:11" ht="12.75">
      <c r="A86" s="8" t="s">
        <v>848</v>
      </c>
      <c r="B86" s="8" t="s">
        <v>849</v>
      </c>
      <c r="C86" s="44">
        <v>2210921.86</v>
      </c>
      <c r="D86" s="44">
        <v>2210921.86</v>
      </c>
      <c r="E86" s="44">
        <v>2210921.86</v>
      </c>
      <c r="F86" s="44">
        <v>94587.21</v>
      </c>
      <c r="G86" s="44">
        <v>2221587.21</v>
      </c>
      <c r="H86" s="113">
        <f t="shared" si="1"/>
        <v>2116334.65</v>
      </c>
      <c r="I86" s="55"/>
      <c r="J86" s="55"/>
      <c r="K86" s="55"/>
    </row>
    <row r="87" spans="1:11" ht="12.75">
      <c r="A87" s="8" t="s">
        <v>850</v>
      </c>
      <c r="B87" s="8" t="s">
        <v>851</v>
      </c>
      <c r="C87" s="44">
        <v>6401292.18</v>
      </c>
      <c r="D87" s="44">
        <v>6387132.18</v>
      </c>
      <c r="E87" s="44">
        <v>6387132.18</v>
      </c>
      <c r="F87" s="44">
        <v>6387132.18</v>
      </c>
      <c r="G87" s="44">
        <v>6649434.12</v>
      </c>
      <c r="H87" s="113">
        <f t="shared" si="1"/>
        <v>0</v>
      </c>
      <c r="I87" s="55"/>
      <c r="J87" s="55"/>
      <c r="K87" s="55"/>
    </row>
    <row r="88" spans="1:11" ht="12.75">
      <c r="A88" s="8" t="s">
        <v>852</v>
      </c>
      <c r="B88" s="8" t="s">
        <v>853</v>
      </c>
      <c r="C88" s="44">
        <v>2108386.1</v>
      </c>
      <c r="D88" s="44">
        <v>1990509.92</v>
      </c>
      <c r="E88" s="44">
        <v>1990509.92</v>
      </c>
      <c r="F88" s="44">
        <v>1990509.92</v>
      </c>
      <c r="G88" s="44">
        <v>2108386.1</v>
      </c>
      <c r="H88" s="113">
        <f t="shared" si="1"/>
        <v>0</v>
      </c>
      <c r="I88" s="55"/>
      <c r="J88" s="55"/>
      <c r="K88" s="55"/>
    </row>
    <row r="89" spans="1:11" ht="12.75">
      <c r="A89" s="8" t="s">
        <v>854</v>
      </c>
      <c r="B89" s="8" t="s">
        <v>855</v>
      </c>
      <c r="C89" s="44">
        <v>118404.93</v>
      </c>
      <c r="D89" s="44">
        <v>118404.93</v>
      </c>
      <c r="E89" s="44">
        <v>118404.93</v>
      </c>
      <c r="F89" s="44">
        <v>118404.93</v>
      </c>
      <c r="G89" s="44">
        <v>118404.93</v>
      </c>
      <c r="H89" s="113">
        <f t="shared" si="1"/>
        <v>0</v>
      </c>
      <c r="I89" s="55"/>
      <c r="J89" s="55"/>
      <c r="K89" s="55"/>
    </row>
    <row r="90" spans="1:11" ht="12.75">
      <c r="A90" s="8" t="s">
        <v>856</v>
      </c>
      <c r="B90" s="8" t="s">
        <v>857</v>
      </c>
      <c r="C90" s="44">
        <v>340548</v>
      </c>
      <c r="D90" s="44">
        <v>340548</v>
      </c>
      <c r="E90" s="44">
        <v>340548</v>
      </c>
      <c r="F90" s="44">
        <v>340548</v>
      </c>
      <c r="G90" s="44">
        <v>350000</v>
      </c>
      <c r="H90" s="113">
        <f t="shared" si="1"/>
        <v>0</v>
      </c>
      <c r="I90" s="55"/>
      <c r="J90" s="55"/>
      <c r="K90" s="55"/>
    </row>
    <row r="91" spans="1:11" ht="12.75">
      <c r="A91" s="8" t="s">
        <v>858</v>
      </c>
      <c r="B91" s="8" t="s">
        <v>859</v>
      </c>
      <c r="C91" s="44">
        <v>11374020</v>
      </c>
      <c r="D91" s="44">
        <v>0</v>
      </c>
      <c r="E91" s="44">
        <v>0</v>
      </c>
      <c r="F91" s="44">
        <v>0</v>
      </c>
      <c r="G91" s="44">
        <v>11412088</v>
      </c>
      <c r="H91" s="113">
        <f t="shared" si="1"/>
        <v>0</v>
      </c>
      <c r="I91" s="55"/>
      <c r="J91" s="55"/>
      <c r="K91" s="55"/>
    </row>
    <row r="92" spans="1:11" ht="12.75">
      <c r="A92" s="8" t="s">
        <v>860</v>
      </c>
      <c r="B92" s="8" t="s">
        <v>861</v>
      </c>
      <c r="C92" s="44">
        <v>74281</v>
      </c>
      <c r="D92" s="44">
        <v>74281</v>
      </c>
      <c r="E92" s="44">
        <v>74281</v>
      </c>
      <c r="F92" s="44">
        <v>74281</v>
      </c>
      <c r="G92" s="44">
        <v>74281</v>
      </c>
      <c r="H92" s="113">
        <f t="shared" si="1"/>
        <v>0</v>
      </c>
      <c r="I92" s="55"/>
      <c r="J92" s="55"/>
      <c r="K92" s="55"/>
    </row>
    <row r="93" spans="1:11" ht="12.75">
      <c r="A93" s="8" t="s">
        <v>862</v>
      </c>
      <c r="B93" s="8" t="s">
        <v>863</v>
      </c>
      <c r="C93" s="44">
        <v>61360</v>
      </c>
      <c r="D93" s="44">
        <v>61360</v>
      </c>
      <c r="E93" s="44">
        <v>61360</v>
      </c>
      <c r="F93" s="44">
        <v>61360</v>
      </c>
      <c r="G93" s="44">
        <v>61360</v>
      </c>
      <c r="H93" s="113">
        <f t="shared" si="1"/>
        <v>0</v>
      </c>
      <c r="I93" s="55"/>
      <c r="J93" s="55"/>
      <c r="K93" s="55"/>
    </row>
    <row r="94" spans="1:11" ht="12.75">
      <c r="A94" s="8" t="s">
        <v>864</v>
      </c>
      <c r="B94" s="8" t="s">
        <v>865</v>
      </c>
      <c r="C94" s="44">
        <v>199160.4</v>
      </c>
      <c r="D94" s="44">
        <v>199160.4</v>
      </c>
      <c r="E94" s="44">
        <v>199160.4</v>
      </c>
      <c r="F94" s="44">
        <v>199160.4</v>
      </c>
      <c r="G94" s="44">
        <v>250000</v>
      </c>
      <c r="H94" s="113">
        <f t="shared" si="1"/>
        <v>0</v>
      </c>
      <c r="I94" s="55"/>
      <c r="J94" s="55"/>
      <c r="K94" s="55"/>
    </row>
    <row r="95" spans="1:11" ht="12.75">
      <c r="A95" s="55"/>
      <c r="B95" s="55"/>
      <c r="C95" s="344">
        <f aca="true" t="shared" si="2" ref="C95:H95">SUM(C10:C94)</f>
        <v>446325171.88999987</v>
      </c>
      <c r="D95" s="344">
        <f t="shared" si="2"/>
        <v>419808553.56999993</v>
      </c>
      <c r="E95" s="344">
        <f t="shared" si="2"/>
        <v>419808553.56999993</v>
      </c>
      <c r="F95" s="344">
        <f t="shared" si="2"/>
        <v>412272269.83999985</v>
      </c>
      <c r="G95" s="344">
        <f t="shared" si="2"/>
        <v>471459513.31999993</v>
      </c>
      <c r="H95" s="357">
        <f t="shared" si="2"/>
        <v>7536283.73</v>
      </c>
      <c r="I95" s="55"/>
      <c r="J95" s="55"/>
      <c r="K95" s="55"/>
    </row>
    <row r="96" spans="1:11" ht="12.75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</sheetData>
  <sheetProtection/>
  <printOptions/>
  <pageMargins left="0.2755905511811024" right="0.15748031496062992" top="0.7480314960629921" bottom="0.2755905511811024" header="0.31496062992125984" footer="0.31496062992125984"/>
  <pageSetup orientation="landscape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1:L121"/>
  <sheetViews>
    <sheetView zoomScalePageLayoutView="0" workbookViewId="0" topLeftCell="A118">
      <selection activeCell="M17" sqref="M17"/>
    </sheetView>
  </sheetViews>
  <sheetFormatPr defaultColWidth="11.421875" defaultRowHeight="12.75"/>
  <cols>
    <col min="6" max="6" width="15.421875" style="0" customWidth="1"/>
    <col min="10" max="10" width="16.28125" style="0" customWidth="1"/>
  </cols>
  <sheetData>
    <row r="11" spans="1:12" ht="15">
      <c r="A11" s="744" t="s">
        <v>330</v>
      </c>
      <c r="B11" s="745"/>
      <c r="C11" s="744">
        <v>10086</v>
      </c>
      <c r="D11" s="745"/>
      <c r="E11" s="676" t="s">
        <v>339</v>
      </c>
      <c r="F11" s="744" t="s">
        <v>340</v>
      </c>
      <c r="G11" s="745"/>
      <c r="H11" s="746" t="s">
        <v>341</v>
      </c>
      <c r="I11" s="745"/>
      <c r="J11" s="677">
        <v>1585.9</v>
      </c>
      <c r="K11" s="677">
        <v>0</v>
      </c>
      <c r="L11" s="676" t="s">
        <v>241</v>
      </c>
    </row>
    <row r="12" spans="1:12" ht="15">
      <c r="A12" s="744" t="s">
        <v>342</v>
      </c>
      <c r="B12" s="745"/>
      <c r="C12" s="744">
        <v>10169</v>
      </c>
      <c r="D12" s="745"/>
      <c r="E12" s="676" t="s">
        <v>343</v>
      </c>
      <c r="F12" s="744" t="s">
        <v>340</v>
      </c>
      <c r="G12" s="745"/>
      <c r="H12" s="746" t="s">
        <v>341</v>
      </c>
      <c r="I12" s="745"/>
      <c r="J12" s="678">
        <v>3246.28</v>
      </c>
      <c r="K12" s="677">
        <v>0</v>
      </c>
      <c r="L12" s="676" t="s">
        <v>241</v>
      </c>
    </row>
    <row r="13" spans="1:12" ht="12.75">
      <c r="A13" s="55"/>
      <c r="B13" s="55"/>
      <c r="C13" s="55"/>
      <c r="D13" s="55"/>
      <c r="E13" s="55"/>
      <c r="F13" s="55"/>
      <c r="G13" s="55"/>
      <c r="H13" s="55"/>
      <c r="I13" s="55"/>
      <c r="J13" s="679">
        <f>SUM(J11:J12)</f>
        <v>4832.18</v>
      </c>
      <c r="K13" s="55"/>
      <c r="L13" s="55"/>
    </row>
    <row r="14" spans="1:12" ht="12.7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</row>
    <row r="15" spans="1:12" ht="15">
      <c r="A15" s="744" t="s">
        <v>344</v>
      </c>
      <c r="B15" s="747"/>
      <c r="C15" s="744">
        <v>10063</v>
      </c>
      <c r="D15" s="747"/>
      <c r="E15" s="676" t="s">
        <v>345</v>
      </c>
      <c r="F15" s="744" t="s">
        <v>346</v>
      </c>
      <c r="G15" s="747"/>
      <c r="H15" s="746" t="s">
        <v>347</v>
      </c>
      <c r="I15" s="747"/>
      <c r="J15" s="678">
        <v>132.25</v>
      </c>
      <c r="K15" s="677">
        <v>0</v>
      </c>
      <c r="L15" s="55"/>
    </row>
    <row r="16" spans="1:12" ht="12.75">
      <c r="A16" s="55"/>
      <c r="B16" s="55"/>
      <c r="C16" s="55"/>
      <c r="D16" s="55"/>
      <c r="E16" s="55"/>
      <c r="F16" s="55"/>
      <c r="G16" s="55"/>
      <c r="H16" s="55"/>
      <c r="I16" s="55"/>
      <c r="J16" s="679">
        <f>SUM(J15)</f>
        <v>132.25</v>
      </c>
      <c r="K16" s="55"/>
      <c r="L16" s="55"/>
    </row>
    <row r="17" spans="1:12" ht="12.7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</row>
    <row r="18" spans="1:12" ht="12.7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</row>
    <row r="19" spans="1:12" ht="15">
      <c r="A19" s="744" t="s">
        <v>348</v>
      </c>
      <c r="B19" s="747"/>
      <c r="C19" s="744">
        <v>10064</v>
      </c>
      <c r="D19" s="747"/>
      <c r="E19" s="676" t="s">
        <v>349</v>
      </c>
      <c r="F19" s="744" t="s">
        <v>239</v>
      </c>
      <c r="G19" s="747"/>
      <c r="H19" s="746" t="s">
        <v>240</v>
      </c>
      <c r="I19" s="747"/>
      <c r="J19" s="677">
        <v>29280</v>
      </c>
      <c r="K19" s="677">
        <v>0</v>
      </c>
      <c r="L19" s="676" t="s">
        <v>241</v>
      </c>
    </row>
    <row r="20" spans="1:12" ht="15">
      <c r="A20" s="744" t="s">
        <v>237</v>
      </c>
      <c r="B20" s="747"/>
      <c r="C20" s="744">
        <v>10147</v>
      </c>
      <c r="D20" s="747"/>
      <c r="E20" s="676" t="s">
        <v>238</v>
      </c>
      <c r="F20" s="744" t="s">
        <v>239</v>
      </c>
      <c r="G20" s="747"/>
      <c r="H20" s="746" t="s">
        <v>240</v>
      </c>
      <c r="I20" s="747"/>
      <c r="J20" s="677">
        <v>3900</v>
      </c>
      <c r="K20" s="677">
        <v>0</v>
      </c>
      <c r="L20" s="676" t="s">
        <v>241</v>
      </c>
    </row>
    <row r="21" spans="1:12" ht="15">
      <c r="A21" s="744" t="s">
        <v>237</v>
      </c>
      <c r="B21" s="747"/>
      <c r="C21" s="744">
        <v>10148</v>
      </c>
      <c r="D21" s="747"/>
      <c r="E21" s="676" t="s">
        <v>242</v>
      </c>
      <c r="F21" s="744" t="s">
        <v>239</v>
      </c>
      <c r="G21" s="747"/>
      <c r="H21" s="746" t="s">
        <v>240</v>
      </c>
      <c r="I21" s="747"/>
      <c r="J21" s="677">
        <v>1500</v>
      </c>
      <c r="K21" s="677">
        <v>0</v>
      </c>
      <c r="L21" s="676" t="s">
        <v>241</v>
      </c>
    </row>
    <row r="22" spans="1:12" ht="15">
      <c r="A22" s="744" t="s">
        <v>237</v>
      </c>
      <c r="B22" s="747"/>
      <c r="C22" s="744">
        <v>10149</v>
      </c>
      <c r="D22" s="747"/>
      <c r="E22" s="676" t="s">
        <v>243</v>
      </c>
      <c r="F22" s="744" t="s">
        <v>239</v>
      </c>
      <c r="G22" s="747"/>
      <c r="H22" s="746" t="s">
        <v>240</v>
      </c>
      <c r="I22" s="747"/>
      <c r="J22" s="677">
        <v>2400</v>
      </c>
      <c r="K22" s="677">
        <v>0</v>
      </c>
      <c r="L22" s="676" t="s">
        <v>241</v>
      </c>
    </row>
    <row r="23" spans="1:12" ht="15">
      <c r="A23" s="744" t="s">
        <v>237</v>
      </c>
      <c r="B23" s="747"/>
      <c r="C23" s="744">
        <v>10150</v>
      </c>
      <c r="D23" s="747"/>
      <c r="E23" s="676" t="s">
        <v>244</v>
      </c>
      <c r="F23" s="744" t="s">
        <v>239</v>
      </c>
      <c r="G23" s="747"/>
      <c r="H23" s="746" t="s">
        <v>240</v>
      </c>
      <c r="I23" s="747"/>
      <c r="J23" s="677">
        <v>1500</v>
      </c>
      <c r="K23" s="677">
        <v>0</v>
      </c>
      <c r="L23" s="676" t="s">
        <v>241</v>
      </c>
    </row>
    <row r="24" spans="1:12" ht="15">
      <c r="A24" s="744" t="s">
        <v>237</v>
      </c>
      <c r="B24" s="747"/>
      <c r="C24" s="744">
        <v>10151</v>
      </c>
      <c r="D24" s="747"/>
      <c r="E24" s="676" t="s">
        <v>245</v>
      </c>
      <c r="F24" s="744" t="s">
        <v>239</v>
      </c>
      <c r="G24" s="747"/>
      <c r="H24" s="746" t="s">
        <v>240</v>
      </c>
      <c r="I24" s="747"/>
      <c r="J24" s="677">
        <v>1500</v>
      </c>
      <c r="K24" s="677">
        <v>0</v>
      </c>
      <c r="L24" s="676" t="s">
        <v>241</v>
      </c>
    </row>
    <row r="25" spans="1:12" ht="15">
      <c r="A25" s="744" t="s">
        <v>246</v>
      </c>
      <c r="B25" s="747"/>
      <c r="C25" s="744">
        <v>10152</v>
      </c>
      <c r="D25" s="747"/>
      <c r="E25" s="676" t="s">
        <v>247</v>
      </c>
      <c r="F25" s="744" t="s">
        <v>239</v>
      </c>
      <c r="G25" s="747"/>
      <c r="H25" s="746" t="s">
        <v>240</v>
      </c>
      <c r="I25" s="747"/>
      <c r="J25" s="677">
        <v>28560</v>
      </c>
      <c r="K25" s="677">
        <v>0</v>
      </c>
      <c r="L25" s="676" t="s">
        <v>241</v>
      </c>
    </row>
    <row r="26" spans="1:12" ht="15">
      <c r="A26" s="744" t="s">
        <v>248</v>
      </c>
      <c r="B26" s="747"/>
      <c r="C26" s="744">
        <v>10155</v>
      </c>
      <c r="D26" s="747"/>
      <c r="E26" s="676" t="s">
        <v>249</v>
      </c>
      <c r="F26" s="744" t="s">
        <v>239</v>
      </c>
      <c r="G26" s="747"/>
      <c r="H26" s="746" t="s">
        <v>240</v>
      </c>
      <c r="I26" s="747"/>
      <c r="J26" s="677">
        <v>3900</v>
      </c>
      <c r="K26" s="677">
        <v>0</v>
      </c>
      <c r="L26" s="676" t="s">
        <v>241</v>
      </c>
    </row>
    <row r="27" spans="1:12" ht="15">
      <c r="A27" s="744" t="s">
        <v>248</v>
      </c>
      <c r="B27" s="747"/>
      <c r="C27" s="744">
        <v>10156</v>
      </c>
      <c r="D27" s="747"/>
      <c r="E27" s="676" t="s">
        <v>250</v>
      </c>
      <c r="F27" s="744" t="s">
        <v>239</v>
      </c>
      <c r="G27" s="747"/>
      <c r="H27" s="746" t="s">
        <v>240</v>
      </c>
      <c r="I27" s="747"/>
      <c r="J27" s="677">
        <v>1500</v>
      </c>
      <c r="K27" s="677">
        <v>0</v>
      </c>
      <c r="L27" s="676" t="s">
        <v>241</v>
      </c>
    </row>
    <row r="28" spans="1:12" ht="15">
      <c r="A28" s="744" t="s">
        <v>248</v>
      </c>
      <c r="B28" s="747"/>
      <c r="C28" s="744">
        <v>10157</v>
      </c>
      <c r="D28" s="747"/>
      <c r="E28" s="676" t="s">
        <v>251</v>
      </c>
      <c r="F28" s="744" t="s">
        <v>239</v>
      </c>
      <c r="G28" s="747"/>
      <c r="H28" s="746" t="s">
        <v>240</v>
      </c>
      <c r="I28" s="747"/>
      <c r="J28" s="677">
        <v>2400</v>
      </c>
      <c r="K28" s="677">
        <v>0</v>
      </c>
      <c r="L28" s="676" t="s">
        <v>241</v>
      </c>
    </row>
    <row r="29" spans="1:12" ht="15">
      <c r="A29" s="744" t="s">
        <v>248</v>
      </c>
      <c r="B29" s="747"/>
      <c r="C29" s="744">
        <v>10158</v>
      </c>
      <c r="D29" s="747"/>
      <c r="E29" s="676" t="s">
        <v>252</v>
      </c>
      <c r="F29" s="744" t="s">
        <v>239</v>
      </c>
      <c r="G29" s="747"/>
      <c r="H29" s="746" t="s">
        <v>240</v>
      </c>
      <c r="I29" s="747"/>
      <c r="J29" s="677">
        <v>1500</v>
      </c>
      <c r="K29" s="677">
        <v>0</v>
      </c>
      <c r="L29" s="676" t="s">
        <v>241</v>
      </c>
    </row>
    <row r="30" spans="1:12" ht="15">
      <c r="A30" s="744" t="s">
        <v>248</v>
      </c>
      <c r="B30" s="747"/>
      <c r="C30" s="744">
        <v>10159</v>
      </c>
      <c r="D30" s="747"/>
      <c r="E30" s="676" t="s">
        <v>350</v>
      </c>
      <c r="F30" s="744" t="s">
        <v>239</v>
      </c>
      <c r="G30" s="747"/>
      <c r="H30" s="746" t="s">
        <v>240</v>
      </c>
      <c r="I30" s="747"/>
      <c r="J30" s="677">
        <v>0</v>
      </c>
      <c r="K30" s="677">
        <v>0</v>
      </c>
      <c r="L30" s="676" t="s">
        <v>316</v>
      </c>
    </row>
    <row r="31" spans="1:12" ht="15">
      <c r="A31" s="744" t="s">
        <v>253</v>
      </c>
      <c r="B31" s="747"/>
      <c r="C31" s="744">
        <v>10161</v>
      </c>
      <c r="D31" s="747"/>
      <c r="E31" s="676" t="s">
        <v>254</v>
      </c>
      <c r="F31" s="744" t="s">
        <v>239</v>
      </c>
      <c r="G31" s="747"/>
      <c r="H31" s="746" t="s">
        <v>240</v>
      </c>
      <c r="I31" s="747"/>
      <c r="J31" s="677">
        <v>3900</v>
      </c>
      <c r="K31" s="677">
        <v>0</v>
      </c>
      <c r="L31" s="676" t="s">
        <v>241</v>
      </c>
    </row>
    <row r="32" spans="1:12" ht="15">
      <c r="A32" s="744" t="s">
        <v>253</v>
      </c>
      <c r="B32" s="747"/>
      <c r="C32" s="744">
        <v>10162</v>
      </c>
      <c r="D32" s="747"/>
      <c r="E32" s="676" t="s">
        <v>255</v>
      </c>
      <c r="F32" s="744" t="s">
        <v>239</v>
      </c>
      <c r="G32" s="747"/>
      <c r="H32" s="746" t="s">
        <v>240</v>
      </c>
      <c r="I32" s="747"/>
      <c r="J32" s="677">
        <v>1500</v>
      </c>
      <c r="K32" s="677">
        <v>0</v>
      </c>
      <c r="L32" s="676" t="s">
        <v>241</v>
      </c>
    </row>
    <row r="33" spans="1:12" ht="15">
      <c r="A33" s="744" t="s">
        <v>253</v>
      </c>
      <c r="B33" s="747"/>
      <c r="C33" s="744">
        <v>10163</v>
      </c>
      <c r="D33" s="747"/>
      <c r="E33" s="676" t="s">
        <v>256</v>
      </c>
      <c r="F33" s="744" t="s">
        <v>239</v>
      </c>
      <c r="G33" s="747"/>
      <c r="H33" s="746" t="s">
        <v>240</v>
      </c>
      <c r="I33" s="747"/>
      <c r="J33" s="677">
        <v>2400</v>
      </c>
      <c r="K33" s="677">
        <v>0</v>
      </c>
      <c r="L33" s="676" t="s">
        <v>241</v>
      </c>
    </row>
    <row r="34" spans="1:12" ht="15">
      <c r="A34" s="744" t="s">
        <v>253</v>
      </c>
      <c r="B34" s="747"/>
      <c r="C34" s="744">
        <v>10164</v>
      </c>
      <c r="D34" s="747"/>
      <c r="E34" s="676" t="s">
        <v>257</v>
      </c>
      <c r="F34" s="744" t="s">
        <v>239</v>
      </c>
      <c r="G34" s="747"/>
      <c r="H34" s="746" t="s">
        <v>240</v>
      </c>
      <c r="I34" s="747"/>
      <c r="J34" s="677">
        <v>1500</v>
      </c>
      <c r="K34" s="677">
        <v>0</v>
      </c>
      <c r="L34" s="676" t="s">
        <v>241</v>
      </c>
    </row>
    <row r="35" spans="1:12" ht="15">
      <c r="A35" s="744" t="s">
        <v>321</v>
      </c>
      <c r="B35" s="747"/>
      <c r="C35" s="744">
        <v>10166</v>
      </c>
      <c r="D35" s="747"/>
      <c r="E35" s="676" t="s">
        <v>351</v>
      </c>
      <c r="F35" s="744" t="s">
        <v>239</v>
      </c>
      <c r="G35" s="747"/>
      <c r="H35" s="746" t="s">
        <v>240</v>
      </c>
      <c r="I35" s="747"/>
      <c r="J35" s="677">
        <v>1500</v>
      </c>
      <c r="K35" s="677">
        <v>0</v>
      </c>
      <c r="L35" s="676" t="s">
        <v>241</v>
      </c>
    </row>
    <row r="36" spans="1:12" ht="15">
      <c r="A36" s="744" t="s">
        <v>352</v>
      </c>
      <c r="B36" s="747"/>
      <c r="C36" s="744">
        <v>10170</v>
      </c>
      <c r="D36" s="747"/>
      <c r="E36" s="676" t="s">
        <v>353</v>
      </c>
      <c r="F36" s="744" t="s">
        <v>239</v>
      </c>
      <c r="G36" s="747"/>
      <c r="H36" s="746" t="s">
        <v>240</v>
      </c>
      <c r="I36" s="747"/>
      <c r="J36" s="677">
        <v>5600</v>
      </c>
      <c r="K36" s="677">
        <v>0</v>
      </c>
      <c r="L36" s="676" t="s">
        <v>241</v>
      </c>
    </row>
    <row r="37" spans="1:12" ht="15">
      <c r="A37" s="744" t="s">
        <v>352</v>
      </c>
      <c r="B37" s="747"/>
      <c r="C37" s="744">
        <v>10171</v>
      </c>
      <c r="D37" s="747"/>
      <c r="E37" s="676" t="s">
        <v>354</v>
      </c>
      <c r="F37" s="744" t="s">
        <v>239</v>
      </c>
      <c r="G37" s="747"/>
      <c r="H37" s="746" t="s">
        <v>240</v>
      </c>
      <c r="I37" s="747"/>
      <c r="J37" s="677">
        <v>3500</v>
      </c>
      <c r="K37" s="677">
        <v>0</v>
      </c>
      <c r="L37" s="676" t="s">
        <v>241</v>
      </c>
    </row>
    <row r="38" spans="1:12" ht="15">
      <c r="A38" s="744" t="s">
        <v>355</v>
      </c>
      <c r="B38" s="747"/>
      <c r="C38" s="744">
        <v>10173</v>
      </c>
      <c r="D38" s="747"/>
      <c r="E38" s="676" t="s">
        <v>356</v>
      </c>
      <c r="F38" s="744" t="s">
        <v>239</v>
      </c>
      <c r="G38" s="747"/>
      <c r="H38" s="746" t="s">
        <v>240</v>
      </c>
      <c r="I38" s="747"/>
      <c r="J38" s="677">
        <v>3900</v>
      </c>
      <c r="K38" s="677">
        <v>0</v>
      </c>
      <c r="L38" s="676" t="s">
        <v>241</v>
      </c>
    </row>
    <row r="39" spans="1:12" ht="15">
      <c r="A39" s="744" t="s">
        <v>355</v>
      </c>
      <c r="B39" s="747"/>
      <c r="C39" s="744">
        <v>10174</v>
      </c>
      <c r="D39" s="747"/>
      <c r="E39" s="676" t="s">
        <v>357</v>
      </c>
      <c r="F39" s="744" t="s">
        <v>239</v>
      </c>
      <c r="G39" s="747"/>
      <c r="H39" s="746" t="s">
        <v>240</v>
      </c>
      <c r="I39" s="747"/>
      <c r="J39" s="677">
        <v>1500</v>
      </c>
      <c r="K39" s="677">
        <v>0</v>
      </c>
      <c r="L39" s="676" t="s">
        <v>241</v>
      </c>
    </row>
    <row r="40" spans="1:12" ht="15">
      <c r="A40" s="744" t="s">
        <v>355</v>
      </c>
      <c r="B40" s="747"/>
      <c r="C40" s="744">
        <v>10175</v>
      </c>
      <c r="D40" s="747"/>
      <c r="E40" s="676" t="s">
        <v>358</v>
      </c>
      <c r="F40" s="744" t="s">
        <v>239</v>
      </c>
      <c r="G40" s="747"/>
      <c r="H40" s="746" t="s">
        <v>240</v>
      </c>
      <c r="I40" s="747"/>
      <c r="J40" s="677">
        <v>1500</v>
      </c>
      <c r="K40" s="677">
        <v>0</v>
      </c>
      <c r="L40" s="676" t="s">
        <v>241</v>
      </c>
    </row>
    <row r="41" spans="1:12" ht="15">
      <c r="A41" s="744" t="s">
        <v>355</v>
      </c>
      <c r="B41" s="747"/>
      <c r="C41" s="744">
        <v>10176</v>
      </c>
      <c r="D41" s="747"/>
      <c r="E41" s="676" t="s">
        <v>359</v>
      </c>
      <c r="F41" s="744" t="s">
        <v>239</v>
      </c>
      <c r="G41" s="747"/>
      <c r="H41" s="746" t="s">
        <v>240</v>
      </c>
      <c r="I41" s="747"/>
      <c r="J41" s="677">
        <v>2400</v>
      </c>
      <c r="K41" s="677">
        <v>0</v>
      </c>
      <c r="L41" s="676" t="s">
        <v>241</v>
      </c>
    </row>
    <row r="42" spans="1:12" ht="15">
      <c r="A42" s="744" t="s">
        <v>355</v>
      </c>
      <c r="B42" s="747"/>
      <c r="C42" s="744">
        <v>10177</v>
      </c>
      <c r="D42" s="747"/>
      <c r="E42" s="676" t="s">
        <v>360</v>
      </c>
      <c r="F42" s="744" t="s">
        <v>239</v>
      </c>
      <c r="G42" s="747"/>
      <c r="H42" s="746" t="s">
        <v>240</v>
      </c>
      <c r="I42" s="747"/>
      <c r="J42" s="677">
        <v>1500</v>
      </c>
      <c r="K42" s="677">
        <v>0</v>
      </c>
      <c r="L42" s="676" t="s">
        <v>241</v>
      </c>
    </row>
    <row r="43" spans="1:12" ht="15">
      <c r="A43" s="744" t="s">
        <v>314</v>
      </c>
      <c r="B43" s="747"/>
      <c r="C43" s="744">
        <v>10178</v>
      </c>
      <c r="D43" s="747"/>
      <c r="E43" s="676" t="s">
        <v>361</v>
      </c>
      <c r="F43" s="744" t="s">
        <v>239</v>
      </c>
      <c r="G43" s="747"/>
      <c r="H43" s="746" t="s">
        <v>240</v>
      </c>
      <c r="I43" s="747"/>
      <c r="J43" s="677">
        <v>2700</v>
      </c>
      <c r="K43" s="677">
        <v>0</v>
      </c>
      <c r="L43" s="676" t="s">
        <v>241</v>
      </c>
    </row>
    <row r="44" spans="1:12" ht="15">
      <c r="A44" s="744" t="s">
        <v>314</v>
      </c>
      <c r="B44" s="747"/>
      <c r="C44" s="744">
        <v>10180</v>
      </c>
      <c r="D44" s="747"/>
      <c r="E44" s="676" t="s">
        <v>362</v>
      </c>
      <c r="F44" s="744" t="s">
        <v>239</v>
      </c>
      <c r="G44" s="747"/>
      <c r="H44" s="746" t="s">
        <v>240</v>
      </c>
      <c r="I44" s="747"/>
      <c r="J44" s="677">
        <v>1800</v>
      </c>
      <c r="K44" s="677">
        <v>0</v>
      </c>
      <c r="L44" s="676" t="s">
        <v>241</v>
      </c>
    </row>
    <row r="45" spans="1:12" ht="15">
      <c r="A45" s="744" t="s">
        <v>314</v>
      </c>
      <c r="B45" s="747"/>
      <c r="C45" s="744">
        <v>10181</v>
      </c>
      <c r="D45" s="747"/>
      <c r="E45" s="676" t="s">
        <v>363</v>
      </c>
      <c r="F45" s="744" t="s">
        <v>239</v>
      </c>
      <c r="G45" s="747"/>
      <c r="H45" s="746" t="s">
        <v>240</v>
      </c>
      <c r="I45" s="747"/>
      <c r="J45" s="677">
        <v>1800</v>
      </c>
      <c r="K45" s="677">
        <v>0</v>
      </c>
      <c r="L45" s="676" t="s">
        <v>241</v>
      </c>
    </row>
    <row r="46" spans="1:12" ht="15">
      <c r="A46" s="744" t="s">
        <v>314</v>
      </c>
      <c r="B46" s="747"/>
      <c r="C46" s="744">
        <v>10182</v>
      </c>
      <c r="D46" s="747"/>
      <c r="E46" s="676" t="s">
        <v>364</v>
      </c>
      <c r="F46" s="744" t="s">
        <v>239</v>
      </c>
      <c r="G46" s="747"/>
      <c r="H46" s="746" t="s">
        <v>240</v>
      </c>
      <c r="I46" s="747"/>
      <c r="J46" s="677">
        <v>1800</v>
      </c>
      <c r="K46" s="677">
        <v>0</v>
      </c>
      <c r="L46" s="676" t="s">
        <v>241</v>
      </c>
    </row>
    <row r="47" spans="1:12" ht="15">
      <c r="A47" s="744" t="s">
        <v>365</v>
      </c>
      <c r="B47" s="747"/>
      <c r="C47" s="744">
        <v>10185</v>
      </c>
      <c r="D47" s="747"/>
      <c r="E47" s="676" t="s">
        <v>366</v>
      </c>
      <c r="F47" s="744" t="s">
        <v>239</v>
      </c>
      <c r="G47" s="747"/>
      <c r="H47" s="746" t="s">
        <v>240</v>
      </c>
      <c r="I47" s="747"/>
      <c r="J47" s="677">
        <v>1500</v>
      </c>
      <c r="K47" s="677">
        <v>0</v>
      </c>
      <c r="L47" s="676" t="s">
        <v>241</v>
      </c>
    </row>
    <row r="48" spans="1:12" ht="15">
      <c r="A48" s="744" t="s">
        <v>367</v>
      </c>
      <c r="B48" s="747"/>
      <c r="C48" s="744">
        <v>10188</v>
      </c>
      <c r="D48" s="747"/>
      <c r="E48" s="676" t="s">
        <v>368</v>
      </c>
      <c r="F48" s="744" t="s">
        <v>239</v>
      </c>
      <c r="G48" s="747"/>
      <c r="H48" s="746" t="s">
        <v>240</v>
      </c>
      <c r="I48" s="747"/>
      <c r="J48" s="677">
        <v>1800</v>
      </c>
      <c r="K48" s="677">
        <v>0</v>
      </c>
      <c r="L48" s="676" t="s">
        <v>241</v>
      </c>
    </row>
    <row r="49" spans="1:12" ht="15">
      <c r="A49" s="744" t="s">
        <v>367</v>
      </c>
      <c r="B49" s="747"/>
      <c r="C49" s="744">
        <v>10189</v>
      </c>
      <c r="D49" s="747"/>
      <c r="E49" s="676" t="s">
        <v>369</v>
      </c>
      <c r="F49" s="744" t="s">
        <v>239</v>
      </c>
      <c r="G49" s="747"/>
      <c r="H49" s="746" t="s">
        <v>240</v>
      </c>
      <c r="I49" s="747"/>
      <c r="J49" s="677">
        <v>1800</v>
      </c>
      <c r="K49" s="677">
        <v>0</v>
      </c>
      <c r="L49" s="676" t="s">
        <v>241</v>
      </c>
    </row>
    <row r="50" spans="1:12" ht="15">
      <c r="A50" s="744" t="s">
        <v>370</v>
      </c>
      <c r="B50" s="747"/>
      <c r="C50" s="744">
        <v>10212</v>
      </c>
      <c r="D50" s="747"/>
      <c r="E50" s="676" t="s">
        <v>371</v>
      </c>
      <c r="F50" s="744" t="s">
        <v>239</v>
      </c>
      <c r="G50" s="747"/>
      <c r="H50" s="746" t="s">
        <v>240</v>
      </c>
      <c r="I50" s="747"/>
      <c r="J50" s="678">
        <v>21960</v>
      </c>
      <c r="K50" s="677">
        <v>0</v>
      </c>
      <c r="L50" s="676" t="s">
        <v>241</v>
      </c>
    </row>
    <row r="51" spans="1:12" ht="12.75">
      <c r="A51" s="55"/>
      <c r="B51" s="55"/>
      <c r="C51" s="55"/>
      <c r="D51" s="55"/>
      <c r="E51" s="55"/>
      <c r="F51" s="55"/>
      <c r="G51" s="55"/>
      <c r="H51" s="55"/>
      <c r="I51" s="55"/>
      <c r="J51" s="679">
        <f>SUM(J19:J50)</f>
        <v>143800</v>
      </c>
      <c r="K51" s="55"/>
      <c r="L51" s="55"/>
    </row>
    <row r="52" spans="1:12" ht="12.7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</row>
    <row r="53" spans="1:12" ht="12.7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</row>
    <row r="54" spans="1:12" ht="15">
      <c r="A54" s="744" t="s">
        <v>344</v>
      </c>
      <c r="B54" s="747"/>
      <c r="C54" s="744">
        <v>10063</v>
      </c>
      <c r="D54" s="747"/>
      <c r="E54" s="676" t="s">
        <v>345</v>
      </c>
      <c r="F54" s="744" t="s">
        <v>258</v>
      </c>
      <c r="G54" s="747"/>
      <c r="H54" s="746" t="s">
        <v>259</v>
      </c>
      <c r="I54" s="747"/>
      <c r="J54" s="677">
        <v>700</v>
      </c>
      <c r="K54" s="677">
        <v>0</v>
      </c>
      <c r="L54" s="676" t="s">
        <v>241</v>
      </c>
    </row>
    <row r="55" spans="1:12" ht="15">
      <c r="A55" s="744" t="s">
        <v>372</v>
      </c>
      <c r="B55" s="747"/>
      <c r="C55" s="744">
        <v>10084</v>
      </c>
      <c r="D55" s="747"/>
      <c r="E55" s="676" t="s">
        <v>373</v>
      </c>
      <c r="F55" s="744" t="s">
        <v>332</v>
      </c>
      <c r="G55" s="747"/>
      <c r="H55" s="746" t="s">
        <v>333</v>
      </c>
      <c r="I55" s="747"/>
      <c r="J55" s="677">
        <v>2330</v>
      </c>
      <c r="K55" s="677">
        <v>0</v>
      </c>
      <c r="L55" s="676" t="s">
        <v>241</v>
      </c>
    </row>
    <row r="56" spans="1:12" ht="15">
      <c r="A56" s="744" t="s">
        <v>374</v>
      </c>
      <c r="B56" s="747"/>
      <c r="C56" s="744">
        <v>10085</v>
      </c>
      <c r="D56" s="747"/>
      <c r="E56" s="676" t="s">
        <v>375</v>
      </c>
      <c r="F56" s="744" t="s">
        <v>332</v>
      </c>
      <c r="G56" s="747"/>
      <c r="H56" s="746" t="s">
        <v>333</v>
      </c>
      <c r="I56" s="747"/>
      <c r="J56" s="677">
        <v>8210</v>
      </c>
      <c r="K56" s="677">
        <v>0</v>
      </c>
      <c r="L56" s="676" t="s">
        <v>241</v>
      </c>
    </row>
    <row r="57" spans="1:12" ht="15">
      <c r="A57" s="744" t="s">
        <v>237</v>
      </c>
      <c r="B57" s="747"/>
      <c r="C57" s="744">
        <v>10150</v>
      </c>
      <c r="D57" s="747"/>
      <c r="E57" s="676" t="s">
        <v>244</v>
      </c>
      <c r="F57" s="744" t="s">
        <v>258</v>
      </c>
      <c r="G57" s="747"/>
      <c r="H57" s="746" t="s">
        <v>259</v>
      </c>
      <c r="I57" s="747"/>
      <c r="J57" s="677">
        <v>60</v>
      </c>
      <c r="K57" s="677">
        <v>0</v>
      </c>
      <c r="L57" s="676" t="s">
        <v>241</v>
      </c>
    </row>
    <row r="58" spans="1:12" ht="15">
      <c r="A58" s="744" t="s">
        <v>248</v>
      </c>
      <c r="B58" s="747"/>
      <c r="C58" s="744">
        <v>10159</v>
      </c>
      <c r="D58" s="747"/>
      <c r="E58" s="676" t="s">
        <v>350</v>
      </c>
      <c r="F58" s="744" t="s">
        <v>258</v>
      </c>
      <c r="G58" s="747"/>
      <c r="H58" s="746" t="s">
        <v>259</v>
      </c>
      <c r="I58" s="747"/>
      <c r="J58" s="677">
        <v>0</v>
      </c>
      <c r="K58" s="677">
        <v>0</v>
      </c>
      <c r="L58" s="676" t="s">
        <v>316</v>
      </c>
    </row>
    <row r="59" spans="1:12" ht="15">
      <c r="A59" s="744" t="s">
        <v>355</v>
      </c>
      <c r="B59" s="747"/>
      <c r="C59" s="744">
        <v>10175</v>
      </c>
      <c r="D59" s="747"/>
      <c r="E59" s="676" t="s">
        <v>358</v>
      </c>
      <c r="F59" s="744" t="s">
        <v>258</v>
      </c>
      <c r="G59" s="747"/>
      <c r="H59" s="746" t="s">
        <v>259</v>
      </c>
      <c r="I59" s="747"/>
      <c r="J59" s="678">
        <v>160</v>
      </c>
      <c r="K59" s="677">
        <v>0</v>
      </c>
      <c r="L59" s="676" t="s">
        <v>241</v>
      </c>
    </row>
    <row r="60" spans="1:12" ht="12.75">
      <c r="A60" s="55"/>
      <c r="B60" s="55"/>
      <c r="C60" s="55"/>
      <c r="D60" s="55"/>
      <c r="E60" s="55"/>
      <c r="F60" s="55"/>
      <c r="G60" s="55"/>
      <c r="H60" s="55"/>
      <c r="I60" s="55"/>
      <c r="J60" s="679">
        <f>SUM(J54:J59)</f>
        <v>11460</v>
      </c>
      <c r="K60" s="55"/>
      <c r="L60" s="55"/>
    </row>
    <row r="61" spans="1:12" ht="12.7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</row>
    <row r="62" spans="1:12" ht="12.7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</row>
    <row r="63" spans="1:12" ht="15">
      <c r="A63" s="744" t="s">
        <v>376</v>
      </c>
      <c r="B63" s="747"/>
      <c r="C63" s="744">
        <v>10211</v>
      </c>
      <c r="D63" s="747"/>
      <c r="E63" s="676" t="s">
        <v>377</v>
      </c>
      <c r="F63" s="744" t="s">
        <v>378</v>
      </c>
      <c r="G63" s="747"/>
      <c r="H63" s="746" t="s">
        <v>379</v>
      </c>
      <c r="I63" s="747"/>
      <c r="J63" s="678">
        <v>2182.1</v>
      </c>
      <c r="K63" s="677">
        <v>0</v>
      </c>
      <c r="L63" s="676" t="s">
        <v>241</v>
      </c>
    </row>
    <row r="64" spans="1:12" ht="12.75">
      <c r="A64" s="55"/>
      <c r="B64" s="55"/>
      <c r="C64" s="55"/>
      <c r="D64" s="55"/>
      <c r="E64" s="55"/>
      <c r="F64" s="55"/>
      <c r="G64" s="55"/>
      <c r="H64" s="55"/>
      <c r="I64" s="55"/>
      <c r="J64" s="679">
        <f>SUM(J63)</f>
        <v>2182.1</v>
      </c>
      <c r="K64" s="55"/>
      <c r="L64" s="55"/>
    </row>
    <row r="65" spans="1:12" ht="12.7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</row>
    <row r="66" spans="1:12" ht="15">
      <c r="A66" s="744" t="s">
        <v>330</v>
      </c>
      <c r="B66" s="747"/>
      <c r="C66" s="744">
        <v>10086</v>
      </c>
      <c r="D66" s="747"/>
      <c r="E66" s="676" t="s">
        <v>339</v>
      </c>
      <c r="F66" s="744" t="s">
        <v>312</v>
      </c>
      <c r="G66" s="747"/>
      <c r="H66" s="746" t="s">
        <v>313</v>
      </c>
      <c r="I66" s="747"/>
      <c r="J66" s="677">
        <v>0</v>
      </c>
      <c r="K66" s="677">
        <v>61.25</v>
      </c>
      <c r="L66" s="676" t="s">
        <v>241</v>
      </c>
    </row>
    <row r="67" spans="1:12" ht="15">
      <c r="A67" s="744" t="s">
        <v>342</v>
      </c>
      <c r="B67" s="747"/>
      <c r="C67" s="744">
        <v>10169</v>
      </c>
      <c r="D67" s="747"/>
      <c r="E67" s="676" t="s">
        <v>343</v>
      </c>
      <c r="F67" s="744" t="s">
        <v>312</v>
      </c>
      <c r="G67" s="747"/>
      <c r="H67" s="746" t="s">
        <v>313</v>
      </c>
      <c r="I67" s="747"/>
      <c r="J67" s="677">
        <v>0</v>
      </c>
      <c r="K67" s="677">
        <v>125.66</v>
      </c>
      <c r="L67" s="676" t="s">
        <v>241</v>
      </c>
    </row>
    <row r="68" spans="1:12" ht="12.75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680">
        <f>SUM(K66:K67)</f>
        <v>186.91</v>
      </c>
      <c r="L68" s="55"/>
    </row>
    <row r="69" spans="1:12" ht="12.7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</row>
    <row r="70" spans="1:12" ht="12.7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</row>
    <row r="71" spans="1:12" ht="15">
      <c r="A71" s="744" t="s">
        <v>344</v>
      </c>
      <c r="B71" s="747"/>
      <c r="C71" s="744">
        <v>10063</v>
      </c>
      <c r="D71" s="747"/>
      <c r="E71" s="676" t="s">
        <v>345</v>
      </c>
      <c r="F71" s="744" t="s">
        <v>263</v>
      </c>
      <c r="G71" s="747"/>
      <c r="H71" s="746" t="s">
        <v>264</v>
      </c>
      <c r="I71" s="747"/>
      <c r="J71" s="677">
        <v>15303.01</v>
      </c>
      <c r="K71" s="677">
        <v>0</v>
      </c>
      <c r="L71" s="676" t="s">
        <v>241</v>
      </c>
    </row>
    <row r="72" spans="1:12" ht="15">
      <c r="A72" s="744" t="s">
        <v>344</v>
      </c>
      <c r="B72" s="747"/>
      <c r="C72" s="744">
        <v>10063</v>
      </c>
      <c r="D72" s="747"/>
      <c r="E72" s="676" t="s">
        <v>345</v>
      </c>
      <c r="F72" s="744" t="s">
        <v>261</v>
      </c>
      <c r="G72" s="747"/>
      <c r="H72" s="746" t="s">
        <v>262</v>
      </c>
      <c r="I72" s="747"/>
      <c r="J72" s="677">
        <v>24</v>
      </c>
      <c r="K72" s="677">
        <v>0</v>
      </c>
      <c r="L72" s="676" t="s">
        <v>241</v>
      </c>
    </row>
    <row r="73" spans="1:12" ht="15">
      <c r="A73" s="744" t="s">
        <v>246</v>
      </c>
      <c r="B73" s="747"/>
      <c r="C73" s="744">
        <v>10153</v>
      </c>
      <c r="D73" s="747"/>
      <c r="E73" s="676" t="s">
        <v>260</v>
      </c>
      <c r="F73" s="744" t="s">
        <v>263</v>
      </c>
      <c r="G73" s="747"/>
      <c r="H73" s="746" t="s">
        <v>264</v>
      </c>
      <c r="I73" s="747"/>
      <c r="J73" s="677">
        <v>8149.05</v>
      </c>
      <c r="K73" s="677">
        <v>0</v>
      </c>
      <c r="L73" s="676" t="s">
        <v>241</v>
      </c>
    </row>
    <row r="74" spans="1:12" ht="15">
      <c r="A74" s="744" t="s">
        <v>246</v>
      </c>
      <c r="B74" s="747"/>
      <c r="C74" s="744">
        <v>10153</v>
      </c>
      <c r="D74" s="747"/>
      <c r="E74" s="676" t="s">
        <v>260</v>
      </c>
      <c r="F74" s="744" t="s">
        <v>261</v>
      </c>
      <c r="G74" s="747"/>
      <c r="H74" s="746" t="s">
        <v>262</v>
      </c>
      <c r="I74" s="747"/>
      <c r="J74" s="677">
        <v>24</v>
      </c>
      <c r="K74" s="677">
        <v>0</v>
      </c>
      <c r="L74" s="676" t="s">
        <v>241</v>
      </c>
    </row>
    <row r="75" spans="1:12" ht="15">
      <c r="A75" s="744" t="s">
        <v>265</v>
      </c>
      <c r="B75" s="747"/>
      <c r="C75" s="744">
        <v>10160</v>
      </c>
      <c r="D75" s="747"/>
      <c r="E75" s="676" t="s">
        <v>266</v>
      </c>
      <c r="F75" s="744" t="s">
        <v>263</v>
      </c>
      <c r="G75" s="747"/>
      <c r="H75" s="746" t="s">
        <v>264</v>
      </c>
      <c r="I75" s="747"/>
      <c r="J75" s="677">
        <v>12338.08</v>
      </c>
      <c r="K75" s="677">
        <v>0</v>
      </c>
      <c r="L75" s="676" t="s">
        <v>241</v>
      </c>
    </row>
    <row r="76" spans="1:12" ht="15">
      <c r="A76" s="744" t="s">
        <v>376</v>
      </c>
      <c r="B76" s="747"/>
      <c r="C76" s="744">
        <v>10211</v>
      </c>
      <c r="D76" s="747"/>
      <c r="E76" s="676" t="s">
        <v>377</v>
      </c>
      <c r="F76" s="744" t="s">
        <v>263</v>
      </c>
      <c r="G76" s="747"/>
      <c r="H76" s="746" t="s">
        <v>264</v>
      </c>
      <c r="I76" s="747"/>
      <c r="J76" s="678">
        <v>1314</v>
      </c>
      <c r="K76" s="677">
        <v>0</v>
      </c>
      <c r="L76" s="676" t="s">
        <v>241</v>
      </c>
    </row>
    <row r="77" spans="1:12" ht="12.75">
      <c r="A77" s="55"/>
      <c r="B77" s="55"/>
      <c r="C77" s="55"/>
      <c r="D77" s="55"/>
      <c r="E77" s="55"/>
      <c r="F77" s="55"/>
      <c r="G77" s="55"/>
      <c r="H77" s="55"/>
      <c r="I77" s="55"/>
      <c r="J77" s="679">
        <f>SUM(J71:J76)</f>
        <v>37152.14</v>
      </c>
      <c r="K77" s="55"/>
      <c r="L77" s="55"/>
    </row>
    <row r="78" spans="1:12" ht="12.75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</row>
    <row r="79" spans="1:12" ht="15">
      <c r="A79" s="744" t="s">
        <v>344</v>
      </c>
      <c r="B79" s="747"/>
      <c r="C79" s="744">
        <v>10063</v>
      </c>
      <c r="D79" s="747"/>
      <c r="E79" s="676" t="s">
        <v>345</v>
      </c>
      <c r="F79" s="744" t="s">
        <v>380</v>
      </c>
      <c r="G79" s="747"/>
      <c r="H79" s="746" t="s">
        <v>381</v>
      </c>
      <c r="I79" s="747"/>
      <c r="J79" s="678">
        <v>135</v>
      </c>
      <c r="K79" s="677">
        <v>0</v>
      </c>
      <c r="L79" s="676" t="s">
        <v>241</v>
      </c>
    </row>
    <row r="80" spans="1:12" ht="12.75">
      <c r="A80" s="55"/>
      <c r="B80" s="55"/>
      <c r="C80" s="55"/>
      <c r="D80" s="55"/>
      <c r="E80" s="55"/>
      <c r="F80" s="55"/>
      <c r="G80" s="55"/>
      <c r="H80" s="55"/>
      <c r="I80" s="55"/>
      <c r="J80" s="679">
        <f>SUM(J79)</f>
        <v>135</v>
      </c>
      <c r="K80" s="55"/>
      <c r="L80" s="55"/>
    </row>
    <row r="81" spans="1:12" ht="12.7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</row>
    <row r="82" spans="1:12" ht="15">
      <c r="A82" s="744" t="s">
        <v>344</v>
      </c>
      <c r="B82" s="747"/>
      <c r="C82" s="744">
        <v>10063</v>
      </c>
      <c r="D82" s="747"/>
      <c r="E82" s="676" t="s">
        <v>345</v>
      </c>
      <c r="F82" s="744" t="s">
        <v>267</v>
      </c>
      <c r="G82" s="747"/>
      <c r="H82" s="746" t="s">
        <v>268</v>
      </c>
      <c r="I82" s="747"/>
      <c r="J82" s="677">
        <v>182.9</v>
      </c>
      <c r="K82" s="677">
        <v>0</v>
      </c>
      <c r="L82" s="676" t="s">
        <v>241</v>
      </c>
    </row>
    <row r="83" spans="1:12" ht="15">
      <c r="A83" s="744" t="s">
        <v>265</v>
      </c>
      <c r="B83" s="747"/>
      <c r="C83" s="744">
        <v>10160</v>
      </c>
      <c r="D83" s="747"/>
      <c r="E83" s="676" t="s">
        <v>266</v>
      </c>
      <c r="F83" s="744" t="s">
        <v>267</v>
      </c>
      <c r="G83" s="747"/>
      <c r="H83" s="746" t="s">
        <v>268</v>
      </c>
      <c r="I83" s="747"/>
      <c r="J83" s="677">
        <v>2303.61</v>
      </c>
      <c r="K83" s="677">
        <v>0</v>
      </c>
      <c r="L83" s="676" t="s">
        <v>241</v>
      </c>
    </row>
    <row r="84" spans="1:12" ht="15">
      <c r="A84" s="744" t="s">
        <v>376</v>
      </c>
      <c r="B84" s="747"/>
      <c r="C84" s="744">
        <v>10211</v>
      </c>
      <c r="D84" s="747"/>
      <c r="E84" s="676" t="s">
        <v>377</v>
      </c>
      <c r="F84" s="744" t="s">
        <v>267</v>
      </c>
      <c r="G84" s="747"/>
      <c r="H84" s="746" t="s">
        <v>268</v>
      </c>
      <c r="I84" s="747"/>
      <c r="J84" s="678">
        <v>408</v>
      </c>
      <c r="K84" s="677">
        <v>0</v>
      </c>
      <c r="L84" s="676" t="s">
        <v>241</v>
      </c>
    </row>
    <row r="85" spans="1:12" ht="12.75">
      <c r="A85" s="55"/>
      <c r="B85" s="55"/>
      <c r="C85" s="55"/>
      <c r="D85" s="55"/>
      <c r="E85" s="55"/>
      <c r="F85" s="55"/>
      <c r="G85" s="55"/>
      <c r="H85" s="55"/>
      <c r="I85" s="55"/>
      <c r="J85" s="679">
        <f>SUM(J82:J84)</f>
        <v>2894.51</v>
      </c>
      <c r="K85" s="55"/>
      <c r="L85" s="55"/>
    </row>
    <row r="86" spans="1:12" ht="12.75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</row>
    <row r="87" spans="1:12" ht="12.75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</row>
    <row r="88" spans="1:12" ht="15">
      <c r="A88" s="744" t="s">
        <v>246</v>
      </c>
      <c r="B88" s="747"/>
      <c r="C88" s="744">
        <v>10153</v>
      </c>
      <c r="D88" s="747"/>
      <c r="E88" s="676" t="s">
        <v>260</v>
      </c>
      <c r="F88" s="744" t="s">
        <v>269</v>
      </c>
      <c r="G88" s="747"/>
      <c r="H88" s="746" t="s">
        <v>270</v>
      </c>
      <c r="I88" s="747"/>
      <c r="J88" s="677">
        <v>510.76</v>
      </c>
      <c r="K88" s="677">
        <v>0</v>
      </c>
      <c r="L88" s="676" t="s">
        <v>241</v>
      </c>
    </row>
    <row r="89" spans="1:12" ht="15">
      <c r="A89" s="744" t="s">
        <v>376</v>
      </c>
      <c r="B89" s="747"/>
      <c r="C89" s="744">
        <v>10211</v>
      </c>
      <c r="D89" s="747"/>
      <c r="E89" s="676" t="s">
        <v>377</v>
      </c>
      <c r="F89" s="744" t="s">
        <v>269</v>
      </c>
      <c r="G89" s="747"/>
      <c r="H89" s="746" t="s">
        <v>270</v>
      </c>
      <c r="I89" s="747"/>
      <c r="J89" s="678">
        <v>635</v>
      </c>
      <c r="K89" s="677">
        <v>0</v>
      </c>
      <c r="L89" s="676" t="s">
        <v>241</v>
      </c>
    </row>
    <row r="90" spans="1:12" ht="12.75">
      <c r="A90" s="55"/>
      <c r="B90" s="55"/>
      <c r="C90" s="55"/>
      <c r="D90" s="55"/>
      <c r="E90" s="55"/>
      <c r="F90" s="55"/>
      <c r="G90" s="55"/>
      <c r="H90" s="55"/>
      <c r="I90" s="55"/>
      <c r="J90" s="679">
        <f>SUM(J88:J89)</f>
        <v>1145.76</v>
      </c>
      <c r="K90" s="55"/>
      <c r="L90" s="55"/>
    </row>
    <row r="91" spans="1:12" ht="12.75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</row>
    <row r="92" spans="1:12" ht="15">
      <c r="A92" s="744" t="s">
        <v>246</v>
      </c>
      <c r="B92" s="747"/>
      <c r="C92" s="744">
        <v>10154</v>
      </c>
      <c r="D92" s="747"/>
      <c r="E92" s="676" t="s">
        <v>271</v>
      </c>
      <c r="F92" s="744" t="s">
        <v>272</v>
      </c>
      <c r="G92" s="747"/>
      <c r="H92" s="746" t="s">
        <v>273</v>
      </c>
      <c r="I92" s="747"/>
      <c r="J92" s="677">
        <v>650</v>
      </c>
      <c r="K92" s="677">
        <v>0</v>
      </c>
      <c r="L92" s="676" t="s">
        <v>241</v>
      </c>
    </row>
    <row r="93" spans="1:12" ht="15">
      <c r="A93" s="744" t="s">
        <v>376</v>
      </c>
      <c r="B93" s="747"/>
      <c r="C93" s="744">
        <v>10211</v>
      </c>
      <c r="D93" s="747"/>
      <c r="E93" s="676" t="s">
        <v>377</v>
      </c>
      <c r="F93" s="744" t="s">
        <v>272</v>
      </c>
      <c r="G93" s="747"/>
      <c r="H93" s="746" t="s">
        <v>273</v>
      </c>
      <c r="I93" s="747"/>
      <c r="J93" s="678">
        <v>485</v>
      </c>
      <c r="K93" s="677">
        <v>0</v>
      </c>
      <c r="L93" s="676" t="s">
        <v>241</v>
      </c>
    </row>
    <row r="94" spans="1:12" ht="12.75">
      <c r="A94" s="55"/>
      <c r="B94" s="55"/>
      <c r="C94" s="55"/>
      <c r="D94" s="55"/>
      <c r="E94" s="55"/>
      <c r="F94" s="55"/>
      <c r="G94" s="55"/>
      <c r="H94" s="55"/>
      <c r="I94" s="55"/>
      <c r="J94" s="679">
        <f>SUM(J92:J93)</f>
        <v>1135</v>
      </c>
      <c r="K94" s="55"/>
      <c r="L94" s="55"/>
    </row>
    <row r="95" spans="1:12" ht="12.75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</row>
    <row r="96" spans="1:12" ht="15">
      <c r="A96" s="744" t="s">
        <v>246</v>
      </c>
      <c r="B96" s="747"/>
      <c r="C96" s="744">
        <v>10154</v>
      </c>
      <c r="D96" s="747"/>
      <c r="E96" s="676" t="s">
        <v>271</v>
      </c>
      <c r="F96" s="744" t="s">
        <v>274</v>
      </c>
      <c r="G96" s="747"/>
      <c r="H96" s="746" t="s">
        <v>275</v>
      </c>
      <c r="I96" s="747"/>
      <c r="J96" s="677">
        <v>1484.39</v>
      </c>
      <c r="K96" s="677">
        <v>0</v>
      </c>
      <c r="L96" s="676" t="s">
        <v>241</v>
      </c>
    </row>
    <row r="97" spans="1:12" ht="15">
      <c r="A97" s="744" t="s">
        <v>376</v>
      </c>
      <c r="B97" s="747"/>
      <c r="C97" s="744">
        <v>10211</v>
      </c>
      <c r="D97" s="747"/>
      <c r="E97" s="676" t="s">
        <v>377</v>
      </c>
      <c r="F97" s="744" t="s">
        <v>274</v>
      </c>
      <c r="G97" s="747"/>
      <c r="H97" s="746" t="s">
        <v>275</v>
      </c>
      <c r="I97" s="747"/>
      <c r="J97" s="678">
        <v>4629.99</v>
      </c>
      <c r="K97" s="677">
        <v>0</v>
      </c>
      <c r="L97" s="676" t="s">
        <v>241</v>
      </c>
    </row>
    <row r="98" spans="1:12" ht="12.75">
      <c r="A98" s="55"/>
      <c r="B98" s="55"/>
      <c r="C98" s="55"/>
      <c r="D98" s="55"/>
      <c r="E98" s="55"/>
      <c r="F98" s="55"/>
      <c r="G98" s="55"/>
      <c r="H98" s="55"/>
      <c r="I98" s="55"/>
      <c r="J98" s="679">
        <f>SUM(J96:J97)</f>
        <v>6114.38</v>
      </c>
      <c r="K98" s="55"/>
      <c r="L98" s="55"/>
    </row>
    <row r="99" spans="1:12" ht="12.7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</row>
    <row r="100" spans="1:12" ht="15">
      <c r="A100" s="744" t="s">
        <v>246</v>
      </c>
      <c r="B100" s="747"/>
      <c r="C100" s="744">
        <v>10154</v>
      </c>
      <c r="D100" s="747"/>
      <c r="E100" s="676" t="s">
        <v>271</v>
      </c>
      <c r="F100" s="744" t="s">
        <v>276</v>
      </c>
      <c r="G100" s="747"/>
      <c r="H100" s="746" t="s">
        <v>277</v>
      </c>
      <c r="I100" s="747"/>
      <c r="J100" s="677">
        <v>5129.68</v>
      </c>
      <c r="K100" s="677">
        <v>0</v>
      </c>
      <c r="L100" s="676" t="s">
        <v>241</v>
      </c>
    </row>
    <row r="101" spans="1:12" ht="15">
      <c r="A101" s="744" t="s">
        <v>376</v>
      </c>
      <c r="B101" s="747"/>
      <c r="C101" s="744">
        <v>10211</v>
      </c>
      <c r="D101" s="747"/>
      <c r="E101" s="676" t="s">
        <v>377</v>
      </c>
      <c r="F101" s="744" t="s">
        <v>382</v>
      </c>
      <c r="G101" s="747"/>
      <c r="H101" s="746" t="s">
        <v>383</v>
      </c>
      <c r="I101" s="747"/>
      <c r="J101" s="677">
        <v>600</v>
      </c>
      <c r="K101" s="677">
        <v>0</v>
      </c>
      <c r="L101" s="676" t="s">
        <v>241</v>
      </c>
    </row>
    <row r="102" spans="1:12" ht="15">
      <c r="A102" s="744" t="s">
        <v>376</v>
      </c>
      <c r="B102" s="747"/>
      <c r="C102" s="744">
        <v>10211</v>
      </c>
      <c r="D102" s="747"/>
      <c r="E102" s="676" t="s">
        <v>377</v>
      </c>
      <c r="F102" s="744" t="s">
        <v>384</v>
      </c>
      <c r="G102" s="747"/>
      <c r="H102" s="746" t="s">
        <v>385</v>
      </c>
      <c r="I102" s="747"/>
      <c r="J102" s="678">
        <v>548.1</v>
      </c>
      <c r="K102" s="677">
        <v>0</v>
      </c>
      <c r="L102" s="676" t="s">
        <v>241</v>
      </c>
    </row>
    <row r="103" spans="1:12" ht="12.75">
      <c r="A103" s="55"/>
      <c r="B103" s="55"/>
      <c r="C103" s="55"/>
      <c r="D103" s="55"/>
      <c r="E103" s="55"/>
      <c r="F103" s="55"/>
      <c r="G103" s="55"/>
      <c r="H103" s="55"/>
      <c r="I103" s="55"/>
      <c r="J103" s="679">
        <f>SUM(J100:J102)</f>
        <v>6277.780000000001</v>
      </c>
      <c r="K103" s="55"/>
      <c r="L103" s="55"/>
    </row>
    <row r="104" spans="1:12" ht="12.7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</row>
    <row r="105" spans="1:12" ht="12.7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</row>
    <row r="106" spans="1:12" ht="15">
      <c r="A106" s="744" t="s">
        <v>344</v>
      </c>
      <c r="B106" s="747"/>
      <c r="C106" s="744">
        <v>10063</v>
      </c>
      <c r="D106" s="747"/>
      <c r="E106" s="676" t="s">
        <v>345</v>
      </c>
      <c r="F106" s="744" t="s">
        <v>286</v>
      </c>
      <c r="G106" s="747"/>
      <c r="H106" s="746" t="s">
        <v>287</v>
      </c>
      <c r="I106" s="747"/>
      <c r="J106" s="677">
        <v>120</v>
      </c>
      <c r="K106" s="677">
        <v>0</v>
      </c>
      <c r="L106" s="676" t="s">
        <v>241</v>
      </c>
    </row>
    <row r="107" spans="1:12" ht="15">
      <c r="A107" s="744" t="s">
        <v>344</v>
      </c>
      <c r="B107" s="747"/>
      <c r="C107" s="744">
        <v>10063</v>
      </c>
      <c r="D107" s="747"/>
      <c r="E107" s="676" t="s">
        <v>345</v>
      </c>
      <c r="F107" s="744" t="s">
        <v>278</v>
      </c>
      <c r="G107" s="747"/>
      <c r="H107" s="746" t="s">
        <v>279</v>
      </c>
      <c r="I107" s="747"/>
      <c r="J107" s="677">
        <v>895.5</v>
      </c>
      <c r="K107" s="677">
        <v>0</v>
      </c>
      <c r="L107" s="676" t="s">
        <v>241</v>
      </c>
    </row>
    <row r="108" spans="1:12" ht="15">
      <c r="A108" s="744" t="s">
        <v>246</v>
      </c>
      <c r="B108" s="747"/>
      <c r="C108" s="744">
        <v>10153</v>
      </c>
      <c r="D108" s="747"/>
      <c r="E108" s="676" t="s">
        <v>260</v>
      </c>
      <c r="F108" s="744" t="s">
        <v>278</v>
      </c>
      <c r="G108" s="747"/>
      <c r="H108" s="746" t="s">
        <v>279</v>
      </c>
      <c r="I108" s="747"/>
      <c r="J108" s="677">
        <v>4793.95</v>
      </c>
      <c r="K108" s="677">
        <v>0</v>
      </c>
      <c r="L108" s="676" t="s">
        <v>241</v>
      </c>
    </row>
    <row r="109" spans="1:12" ht="15">
      <c r="A109" s="744" t="s">
        <v>246</v>
      </c>
      <c r="B109" s="747"/>
      <c r="C109" s="744">
        <v>10153</v>
      </c>
      <c r="D109" s="747"/>
      <c r="E109" s="676" t="s">
        <v>260</v>
      </c>
      <c r="F109" s="744" t="s">
        <v>280</v>
      </c>
      <c r="G109" s="747"/>
      <c r="H109" s="746" t="s">
        <v>281</v>
      </c>
      <c r="I109" s="747"/>
      <c r="J109" s="677">
        <v>165.25</v>
      </c>
      <c r="K109" s="677">
        <v>0</v>
      </c>
      <c r="L109" s="676" t="s">
        <v>241</v>
      </c>
    </row>
    <row r="110" spans="1:12" ht="15">
      <c r="A110" s="744" t="s">
        <v>246</v>
      </c>
      <c r="B110" s="747"/>
      <c r="C110" s="744">
        <v>10153</v>
      </c>
      <c r="D110" s="747"/>
      <c r="E110" s="676" t="s">
        <v>260</v>
      </c>
      <c r="F110" s="744" t="s">
        <v>282</v>
      </c>
      <c r="G110" s="747"/>
      <c r="H110" s="746" t="s">
        <v>283</v>
      </c>
      <c r="I110" s="747"/>
      <c r="J110" s="677">
        <v>179.99</v>
      </c>
      <c r="K110" s="677">
        <v>0</v>
      </c>
      <c r="L110" s="676" t="s">
        <v>241</v>
      </c>
    </row>
    <row r="111" spans="1:12" ht="15">
      <c r="A111" s="744" t="s">
        <v>246</v>
      </c>
      <c r="B111" s="747"/>
      <c r="C111" s="744">
        <v>10154</v>
      </c>
      <c r="D111" s="747"/>
      <c r="E111" s="676" t="s">
        <v>271</v>
      </c>
      <c r="F111" s="744" t="s">
        <v>284</v>
      </c>
      <c r="G111" s="747"/>
      <c r="H111" s="746" t="s">
        <v>285</v>
      </c>
      <c r="I111" s="747"/>
      <c r="J111" s="677">
        <v>6100</v>
      </c>
      <c r="K111" s="677">
        <v>0</v>
      </c>
      <c r="L111" s="676" t="s">
        <v>241</v>
      </c>
    </row>
    <row r="112" spans="1:12" ht="15">
      <c r="A112" s="744" t="s">
        <v>246</v>
      </c>
      <c r="B112" s="747"/>
      <c r="C112" s="744">
        <v>10154</v>
      </c>
      <c r="D112" s="747"/>
      <c r="E112" s="676" t="s">
        <v>271</v>
      </c>
      <c r="F112" s="744" t="s">
        <v>280</v>
      </c>
      <c r="G112" s="747"/>
      <c r="H112" s="746" t="s">
        <v>281</v>
      </c>
      <c r="I112" s="747"/>
      <c r="J112" s="677">
        <v>2592.61</v>
      </c>
      <c r="K112" s="677">
        <v>0</v>
      </c>
      <c r="L112" s="676" t="s">
        <v>241</v>
      </c>
    </row>
    <row r="113" spans="1:12" ht="15">
      <c r="A113" s="744" t="s">
        <v>246</v>
      </c>
      <c r="B113" s="747"/>
      <c r="C113" s="744">
        <v>10154</v>
      </c>
      <c r="D113" s="747"/>
      <c r="E113" s="676" t="s">
        <v>271</v>
      </c>
      <c r="F113" s="744" t="s">
        <v>278</v>
      </c>
      <c r="G113" s="747"/>
      <c r="H113" s="746" t="s">
        <v>279</v>
      </c>
      <c r="I113" s="747"/>
      <c r="J113" s="677">
        <v>2575</v>
      </c>
      <c r="K113" s="677">
        <v>0</v>
      </c>
      <c r="L113" s="676" t="s">
        <v>241</v>
      </c>
    </row>
    <row r="114" spans="1:12" ht="15">
      <c r="A114" s="744" t="s">
        <v>265</v>
      </c>
      <c r="B114" s="747"/>
      <c r="C114" s="744">
        <v>10160</v>
      </c>
      <c r="D114" s="747"/>
      <c r="E114" s="676" t="s">
        <v>266</v>
      </c>
      <c r="F114" s="744" t="s">
        <v>286</v>
      </c>
      <c r="G114" s="747"/>
      <c r="H114" s="746" t="s">
        <v>287</v>
      </c>
      <c r="I114" s="747"/>
      <c r="J114" s="677">
        <v>80</v>
      </c>
      <c r="K114" s="677">
        <v>0</v>
      </c>
      <c r="L114" s="676" t="s">
        <v>241</v>
      </c>
    </row>
    <row r="115" spans="1:12" ht="15">
      <c r="A115" s="744" t="s">
        <v>265</v>
      </c>
      <c r="B115" s="747"/>
      <c r="C115" s="744">
        <v>10160</v>
      </c>
      <c r="D115" s="747"/>
      <c r="E115" s="676" t="s">
        <v>266</v>
      </c>
      <c r="F115" s="744" t="s">
        <v>278</v>
      </c>
      <c r="G115" s="747"/>
      <c r="H115" s="746" t="s">
        <v>279</v>
      </c>
      <c r="I115" s="747"/>
      <c r="J115" s="677">
        <v>909.95</v>
      </c>
      <c r="K115" s="677">
        <v>0</v>
      </c>
      <c r="L115" s="676" t="s">
        <v>241</v>
      </c>
    </row>
    <row r="116" spans="1:12" ht="15">
      <c r="A116" s="744" t="s">
        <v>376</v>
      </c>
      <c r="B116" s="747"/>
      <c r="C116" s="744">
        <v>10211</v>
      </c>
      <c r="D116" s="747"/>
      <c r="E116" s="676" t="s">
        <v>377</v>
      </c>
      <c r="F116" s="744" t="s">
        <v>278</v>
      </c>
      <c r="G116" s="747"/>
      <c r="H116" s="746" t="s">
        <v>279</v>
      </c>
      <c r="I116" s="747"/>
      <c r="J116" s="677">
        <v>2428</v>
      </c>
      <c r="K116" s="677">
        <v>0</v>
      </c>
      <c r="L116" s="676" t="s">
        <v>241</v>
      </c>
    </row>
    <row r="117" spans="1:12" ht="15">
      <c r="A117" s="744" t="s">
        <v>376</v>
      </c>
      <c r="B117" s="747"/>
      <c r="C117" s="744">
        <v>10211</v>
      </c>
      <c r="D117" s="747"/>
      <c r="E117" s="676" t="s">
        <v>377</v>
      </c>
      <c r="F117" s="744" t="s">
        <v>284</v>
      </c>
      <c r="G117" s="747"/>
      <c r="H117" s="746" t="s">
        <v>285</v>
      </c>
      <c r="I117" s="747"/>
      <c r="J117" s="678">
        <v>4402.56</v>
      </c>
      <c r="K117" s="677">
        <v>0</v>
      </c>
      <c r="L117" s="676" t="s">
        <v>241</v>
      </c>
    </row>
    <row r="118" spans="1:12" ht="12.75">
      <c r="A118" s="55"/>
      <c r="B118" s="55"/>
      <c r="C118" s="55"/>
      <c r="D118" s="55"/>
      <c r="E118" s="55"/>
      <c r="F118" s="55"/>
      <c r="G118" s="55"/>
      <c r="H118" s="55"/>
      <c r="I118" s="55"/>
      <c r="J118" s="679">
        <f>SUM(J106:J117)</f>
        <v>25242.81</v>
      </c>
      <c r="K118" s="55"/>
      <c r="L118" s="55"/>
    </row>
    <row r="119" spans="1:12" ht="12.7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</row>
    <row r="120" spans="1:12" ht="15">
      <c r="A120" s="744" t="s">
        <v>386</v>
      </c>
      <c r="B120" s="747"/>
      <c r="C120" s="744">
        <v>10062</v>
      </c>
      <c r="D120" s="747"/>
      <c r="E120" s="676" t="s">
        <v>387</v>
      </c>
      <c r="F120" s="744" t="s">
        <v>388</v>
      </c>
      <c r="G120" s="747"/>
      <c r="H120" s="746" t="s">
        <v>389</v>
      </c>
      <c r="I120" s="747"/>
      <c r="J120" s="677">
        <v>189.25</v>
      </c>
      <c r="K120" s="677">
        <v>0</v>
      </c>
      <c r="L120" s="676" t="s">
        <v>241</v>
      </c>
    </row>
    <row r="121" spans="1:12" ht="12.7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</row>
  </sheetData>
  <sheetProtection/>
  <mergeCells count="304">
    <mergeCell ref="A117:B117"/>
    <mergeCell ref="C117:D117"/>
    <mergeCell ref="F117:G117"/>
    <mergeCell ref="H117:I117"/>
    <mergeCell ref="A120:B120"/>
    <mergeCell ref="C120:D120"/>
    <mergeCell ref="F120:G120"/>
    <mergeCell ref="H120:I120"/>
    <mergeCell ref="A115:B115"/>
    <mergeCell ref="C115:D115"/>
    <mergeCell ref="F115:G115"/>
    <mergeCell ref="H115:I115"/>
    <mergeCell ref="A116:B116"/>
    <mergeCell ref="C116:D116"/>
    <mergeCell ref="F116:G116"/>
    <mergeCell ref="H116:I116"/>
    <mergeCell ref="A113:B113"/>
    <mergeCell ref="C113:D113"/>
    <mergeCell ref="F113:G113"/>
    <mergeCell ref="H113:I113"/>
    <mergeCell ref="A114:B114"/>
    <mergeCell ref="C114:D114"/>
    <mergeCell ref="F114:G114"/>
    <mergeCell ref="H114:I114"/>
    <mergeCell ref="A111:B111"/>
    <mergeCell ref="C111:D111"/>
    <mergeCell ref="F111:G111"/>
    <mergeCell ref="H111:I111"/>
    <mergeCell ref="A112:B112"/>
    <mergeCell ref="C112:D112"/>
    <mergeCell ref="F112:G112"/>
    <mergeCell ref="H112:I112"/>
    <mergeCell ref="A109:B109"/>
    <mergeCell ref="C109:D109"/>
    <mergeCell ref="F109:G109"/>
    <mergeCell ref="H109:I109"/>
    <mergeCell ref="A110:B110"/>
    <mergeCell ref="C110:D110"/>
    <mergeCell ref="F110:G110"/>
    <mergeCell ref="H110:I110"/>
    <mergeCell ref="A107:B107"/>
    <mergeCell ref="C107:D107"/>
    <mergeCell ref="F107:G107"/>
    <mergeCell ref="H107:I107"/>
    <mergeCell ref="A108:B108"/>
    <mergeCell ref="C108:D108"/>
    <mergeCell ref="F108:G108"/>
    <mergeCell ref="H108:I108"/>
    <mergeCell ref="A102:B102"/>
    <mergeCell ref="C102:D102"/>
    <mergeCell ref="F102:G102"/>
    <mergeCell ref="H102:I102"/>
    <mergeCell ref="A106:B106"/>
    <mergeCell ref="C106:D106"/>
    <mergeCell ref="F106:G106"/>
    <mergeCell ref="H106:I106"/>
    <mergeCell ref="A100:B100"/>
    <mergeCell ref="C100:D100"/>
    <mergeCell ref="F100:G100"/>
    <mergeCell ref="H100:I100"/>
    <mergeCell ref="A101:B101"/>
    <mergeCell ref="C101:D101"/>
    <mergeCell ref="F101:G101"/>
    <mergeCell ref="H101:I101"/>
    <mergeCell ref="A96:B96"/>
    <mergeCell ref="C96:D96"/>
    <mergeCell ref="F96:G96"/>
    <mergeCell ref="H96:I96"/>
    <mergeCell ref="A97:B97"/>
    <mergeCell ref="C97:D97"/>
    <mergeCell ref="F97:G97"/>
    <mergeCell ref="H97:I97"/>
    <mergeCell ref="A92:B92"/>
    <mergeCell ref="C92:D92"/>
    <mergeCell ref="F92:G92"/>
    <mergeCell ref="H92:I92"/>
    <mergeCell ref="A93:B93"/>
    <mergeCell ref="C93:D93"/>
    <mergeCell ref="F93:G93"/>
    <mergeCell ref="H93:I93"/>
    <mergeCell ref="A88:B88"/>
    <mergeCell ref="C88:D88"/>
    <mergeCell ref="F88:G88"/>
    <mergeCell ref="H88:I88"/>
    <mergeCell ref="A89:B89"/>
    <mergeCell ref="C89:D89"/>
    <mergeCell ref="F89:G89"/>
    <mergeCell ref="H89:I89"/>
    <mergeCell ref="A83:B83"/>
    <mergeCell ref="C83:D83"/>
    <mergeCell ref="F83:G83"/>
    <mergeCell ref="H83:I83"/>
    <mergeCell ref="A84:B84"/>
    <mergeCell ref="C84:D84"/>
    <mergeCell ref="F84:G84"/>
    <mergeCell ref="H84:I84"/>
    <mergeCell ref="A79:B79"/>
    <mergeCell ref="C79:D79"/>
    <mergeCell ref="F79:G79"/>
    <mergeCell ref="H79:I79"/>
    <mergeCell ref="A82:B82"/>
    <mergeCell ref="C82:D82"/>
    <mergeCell ref="F82:G82"/>
    <mergeCell ref="H82:I82"/>
    <mergeCell ref="A75:B75"/>
    <mergeCell ref="C75:D75"/>
    <mergeCell ref="F75:G75"/>
    <mergeCell ref="H75:I75"/>
    <mergeCell ref="A76:B76"/>
    <mergeCell ref="C76:D76"/>
    <mergeCell ref="F76:G76"/>
    <mergeCell ref="H76:I76"/>
    <mergeCell ref="A73:B73"/>
    <mergeCell ref="C73:D73"/>
    <mergeCell ref="F73:G73"/>
    <mergeCell ref="H73:I73"/>
    <mergeCell ref="A74:B74"/>
    <mergeCell ref="C74:D74"/>
    <mergeCell ref="F74:G74"/>
    <mergeCell ref="H74:I74"/>
    <mergeCell ref="A71:B71"/>
    <mergeCell ref="C71:D71"/>
    <mergeCell ref="F71:G71"/>
    <mergeCell ref="H71:I71"/>
    <mergeCell ref="A72:B72"/>
    <mergeCell ref="C72:D72"/>
    <mergeCell ref="F72:G72"/>
    <mergeCell ref="H72:I72"/>
    <mergeCell ref="A66:B66"/>
    <mergeCell ref="C66:D66"/>
    <mergeCell ref="F66:G66"/>
    <mergeCell ref="H66:I66"/>
    <mergeCell ref="A67:B67"/>
    <mergeCell ref="C67:D67"/>
    <mergeCell ref="F67:G67"/>
    <mergeCell ref="H67:I67"/>
    <mergeCell ref="A58:B58"/>
    <mergeCell ref="C58:D58"/>
    <mergeCell ref="F58:G58"/>
    <mergeCell ref="H58:I58"/>
    <mergeCell ref="A59:B59"/>
    <mergeCell ref="C59:D59"/>
    <mergeCell ref="F59:G59"/>
    <mergeCell ref="H59:I59"/>
    <mergeCell ref="A56:B56"/>
    <mergeCell ref="C56:D56"/>
    <mergeCell ref="F56:G56"/>
    <mergeCell ref="H56:I56"/>
    <mergeCell ref="A57:B57"/>
    <mergeCell ref="C57:D57"/>
    <mergeCell ref="F57:G57"/>
    <mergeCell ref="H57:I57"/>
    <mergeCell ref="F54:G54"/>
    <mergeCell ref="H54:I54"/>
    <mergeCell ref="A55:B55"/>
    <mergeCell ref="C55:D55"/>
    <mergeCell ref="F55:G55"/>
    <mergeCell ref="H55:I55"/>
    <mergeCell ref="A50:B50"/>
    <mergeCell ref="C50:D50"/>
    <mergeCell ref="F50:G50"/>
    <mergeCell ref="H50:I50"/>
    <mergeCell ref="A63:B63"/>
    <mergeCell ref="C63:D63"/>
    <mergeCell ref="F63:G63"/>
    <mergeCell ref="H63:I63"/>
    <mergeCell ref="A54:B54"/>
    <mergeCell ref="C54:D54"/>
    <mergeCell ref="A48:B48"/>
    <mergeCell ref="C48:D48"/>
    <mergeCell ref="F48:G48"/>
    <mergeCell ref="H48:I48"/>
    <mergeCell ref="A49:B49"/>
    <mergeCell ref="C49:D49"/>
    <mergeCell ref="F49:G49"/>
    <mergeCell ref="H49:I49"/>
    <mergeCell ref="A46:B46"/>
    <mergeCell ref="C46:D46"/>
    <mergeCell ref="F46:G46"/>
    <mergeCell ref="H46:I46"/>
    <mergeCell ref="A47:B47"/>
    <mergeCell ref="C47:D47"/>
    <mergeCell ref="F47:G47"/>
    <mergeCell ref="H47:I47"/>
    <mergeCell ref="A44:B44"/>
    <mergeCell ref="C44:D44"/>
    <mergeCell ref="F44:G44"/>
    <mergeCell ref="H44:I44"/>
    <mergeCell ref="A45:B45"/>
    <mergeCell ref="C45:D45"/>
    <mergeCell ref="F45:G45"/>
    <mergeCell ref="H45:I45"/>
    <mergeCell ref="A42:B42"/>
    <mergeCell ref="C42:D42"/>
    <mergeCell ref="F42:G42"/>
    <mergeCell ref="H42:I42"/>
    <mergeCell ref="A43:B43"/>
    <mergeCell ref="C43:D43"/>
    <mergeCell ref="F43:G43"/>
    <mergeCell ref="H43:I43"/>
    <mergeCell ref="A40:B40"/>
    <mergeCell ref="C40:D40"/>
    <mergeCell ref="F40:G40"/>
    <mergeCell ref="H40:I40"/>
    <mergeCell ref="A41:B41"/>
    <mergeCell ref="C41:D41"/>
    <mergeCell ref="F41:G41"/>
    <mergeCell ref="H41:I41"/>
    <mergeCell ref="A38:B38"/>
    <mergeCell ref="C38:D38"/>
    <mergeCell ref="F38:G38"/>
    <mergeCell ref="H38:I38"/>
    <mergeCell ref="A39:B39"/>
    <mergeCell ref="C39:D39"/>
    <mergeCell ref="F39:G39"/>
    <mergeCell ref="H39:I39"/>
    <mergeCell ref="A36:B36"/>
    <mergeCell ref="C36:D36"/>
    <mergeCell ref="F36:G36"/>
    <mergeCell ref="H36:I36"/>
    <mergeCell ref="A37:B37"/>
    <mergeCell ref="C37:D37"/>
    <mergeCell ref="F37:G37"/>
    <mergeCell ref="H37:I37"/>
    <mergeCell ref="A34:B34"/>
    <mergeCell ref="C34:D34"/>
    <mergeCell ref="F34:G34"/>
    <mergeCell ref="H34:I34"/>
    <mergeCell ref="A35:B35"/>
    <mergeCell ref="C35:D35"/>
    <mergeCell ref="F35:G35"/>
    <mergeCell ref="H35:I35"/>
    <mergeCell ref="A32:B32"/>
    <mergeCell ref="C32:D32"/>
    <mergeCell ref="F32:G32"/>
    <mergeCell ref="H32:I32"/>
    <mergeCell ref="A33:B33"/>
    <mergeCell ref="C33:D33"/>
    <mergeCell ref="F33:G33"/>
    <mergeCell ref="H33:I33"/>
    <mergeCell ref="A30:B30"/>
    <mergeCell ref="C30:D30"/>
    <mergeCell ref="F30:G30"/>
    <mergeCell ref="H30:I30"/>
    <mergeCell ref="A31:B31"/>
    <mergeCell ref="C31:D31"/>
    <mergeCell ref="F31:G31"/>
    <mergeCell ref="H31:I31"/>
    <mergeCell ref="A28:B28"/>
    <mergeCell ref="C28:D28"/>
    <mergeCell ref="F28:G28"/>
    <mergeCell ref="H28:I28"/>
    <mergeCell ref="A29:B29"/>
    <mergeCell ref="C29:D29"/>
    <mergeCell ref="F29:G29"/>
    <mergeCell ref="H29:I29"/>
    <mergeCell ref="A26:B26"/>
    <mergeCell ref="C26:D26"/>
    <mergeCell ref="F26:G26"/>
    <mergeCell ref="H26:I26"/>
    <mergeCell ref="A27:B27"/>
    <mergeCell ref="C27:D27"/>
    <mergeCell ref="F27:G27"/>
    <mergeCell ref="H27:I27"/>
    <mergeCell ref="A24:B24"/>
    <mergeCell ref="C24:D24"/>
    <mergeCell ref="F24:G24"/>
    <mergeCell ref="H24:I24"/>
    <mergeCell ref="A25:B25"/>
    <mergeCell ref="C25:D25"/>
    <mergeCell ref="F25:G25"/>
    <mergeCell ref="H25:I25"/>
    <mergeCell ref="A22:B22"/>
    <mergeCell ref="C22:D22"/>
    <mergeCell ref="F22:G22"/>
    <mergeCell ref="H22:I22"/>
    <mergeCell ref="A23:B23"/>
    <mergeCell ref="C23:D23"/>
    <mergeCell ref="F23:G23"/>
    <mergeCell ref="H23:I23"/>
    <mergeCell ref="A20:B20"/>
    <mergeCell ref="C20:D20"/>
    <mergeCell ref="F20:G20"/>
    <mergeCell ref="H20:I20"/>
    <mergeCell ref="A21:B21"/>
    <mergeCell ref="C21:D21"/>
    <mergeCell ref="F21:G21"/>
    <mergeCell ref="H21:I21"/>
    <mergeCell ref="A15:B15"/>
    <mergeCell ref="C15:D15"/>
    <mergeCell ref="F15:G15"/>
    <mergeCell ref="H15:I15"/>
    <mergeCell ref="A19:B19"/>
    <mergeCell ref="C19:D19"/>
    <mergeCell ref="F19:G19"/>
    <mergeCell ref="H19:I19"/>
    <mergeCell ref="A11:B11"/>
    <mergeCell ref="C11:D11"/>
    <mergeCell ref="F11:G11"/>
    <mergeCell ref="H11:I11"/>
    <mergeCell ref="A12:B12"/>
    <mergeCell ref="C12:D12"/>
    <mergeCell ref="F12:G12"/>
    <mergeCell ref="H12:I12"/>
  </mergeCells>
  <printOptions/>
  <pageMargins left="0.7086614173228347" right="0.7086614173228347" top="0.7480314960629921" bottom="0.7480314960629921" header="0.31496062992125984" footer="0.31496062992125984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I66"/>
  <sheetViews>
    <sheetView zoomScalePageLayoutView="0" workbookViewId="0" topLeftCell="A1">
      <selection activeCell="A8" sqref="A8:G8"/>
    </sheetView>
  </sheetViews>
  <sheetFormatPr defaultColWidth="11.421875" defaultRowHeight="12.75"/>
  <cols>
    <col min="1" max="1" width="32.421875" style="0" customWidth="1"/>
    <col min="2" max="2" width="16.140625" style="0" customWidth="1"/>
    <col min="3" max="3" width="12.421875" style="0" customWidth="1"/>
    <col min="4" max="5" width="11.00390625" style="0" customWidth="1"/>
    <col min="6" max="6" width="17.421875" style="0" customWidth="1"/>
    <col min="7" max="7" width="15.57421875" style="0" customWidth="1"/>
  </cols>
  <sheetData>
    <row r="8" spans="1:7" ht="15.75">
      <c r="A8" s="714" t="s">
        <v>115</v>
      </c>
      <c r="B8" s="714"/>
      <c r="C8" s="714"/>
      <c r="D8" s="714"/>
      <c r="E8" s="714"/>
      <c r="F8" s="714"/>
      <c r="G8" s="714"/>
    </row>
    <row r="9" spans="1:7" ht="12.75">
      <c r="A9" s="715" t="s">
        <v>126</v>
      </c>
      <c r="B9" s="715"/>
      <c r="C9" s="715"/>
      <c r="D9" s="715"/>
      <c r="E9" s="715"/>
      <c r="F9" s="715"/>
      <c r="G9" s="715"/>
    </row>
    <row r="10" spans="1:7" ht="12.75">
      <c r="A10" s="715" t="s">
        <v>135</v>
      </c>
      <c r="B10" s="715"/>
      <c r="C10" s="715"/>
      <c r="D10" s="715"/>
      <c r="E10" s="715"/>
      <c r="F10" s="715"/>
      <c r="G10" s="715"/>
    </row>
    <row r="11" spans="1:7" ht="12.75">
      <c r="A11" s="715" t="s">
        <v>2</v>
      </c>
      <c r="B11" s="715"/>
      <c r="C11" s="715"/>
      <c r="D11" s="715"/>
      <c r="E11" s="715"/>
      <c r="F11" s="715"/>
      <c r="G11" s="715"/>
    </row>
    <row r="12" spans="1:7" ht="13.5" thickBot="1">
      <c r="A12" s="4"/>
      <c r="B12" s="5"/>
      <c r="C12" s="5"/>
      <c r="D12" s="5"/>
      <c r="E12" s="5"/>
      <c r="F12" s="5"/>
      <c r="G12" s="5"/>
    </row>
    <row r="13" spans="1:7" ht="68.25" thickBot="1">
      <c r="A13" s="62" t="s">
        <v>11</v>
      </c>
      <c r="B13" s="68" t="s">
        <v>158</v>
      </c>
      <c r="C13" s="68" t="s">
        <v>161</v>
      </c>
      <c r="D13" s="69" t="s">
        <v>159</v>
      </c>
      <c r="E13" s="165" t="s">
        <v>150</v>
      </c>
      <c r="F13" s="69" t="s">
        <v>160</v>
      </c>
      <c r="G13" s="63" t="s">
        <v>120</v>
      </c>
    </row>
    <row r="14" spans="1:7" ht="12.75">
      <c r="A14" s="60"/>
      <c r="B14" s="60"/>
      <c r="C14" s="61"/>
      <c r="D14" s="61"/>
      <c r="E14" s="61"/>
      <c r="F14" s="61"/>
      <c r="G14" s="61"/>
    </row>
    <row r="15" spans="1:7" ht="12.75">
      <c r="A15" s="71" t="s">
        <v>127</v>
      </c>
      <c r="B15" s="60"/>
      <c r="C15" s="74">
        <f>SUM(C16)</f>
        <v>0</v>
      </c>
      <c r="D15" s="75"/>
      <c r="E15" s="143"/>
      <c r="F15" s="74">
        <f>SUM(F16)</f>
        <v>0</v>
      </c>
      <c r="G15" s="74">
        <f>SUM(C15:F15)</f>
        <v>0</v>
      </c>
    </row>
    <row r="16" spans="1:7" ht="12.75">
      <c r="A16" s="70" t="s">
        <v>128</v>
      </c>
      <c r="B16" s="60"/>
      <c r="C16" s="73">
        <v>0</v>
      </c>
      <c r="D16" s="61"/>
      <c r="E16" s="61"/>
      <c r="F16" s="73">
        <v>0</v>
      </c>
      <c r="G16" s="61"/>
    </row>
    <row r="17" spans="1:7" ht="12.75">
      <c r="A17" s="70" t="s">
        <v>129</v>
      </c>
      <c r="B17" s="60"/>
      <c r="C17" s="61"/>
      <c r="D17" s="61"/>
      <c r="E17" s="61"/>
      <c r="F17" s="61"/>
      <c r="G17" s="61"/>
    </row>
    <row r="18" spans="1:7" ht="12.75">
      <c r="A18" s="60"/>
      <c r="B18" s="60"/>
      <c r="C18" s="61"/>
      <c r="D18" s="61"/>
      <c r="E18" s="61"/>
      <c r="F18" s="61"/>
      <c r="G18" s="61"/>
    </row>
    <row r="19" spans="1:7" ht="12.75">
      <c r="A19" s="72" t="s">
        <v>50</v>
      </c>
      <c r="B19" s="53">
        <f>SUM(B22:B29)</f>
        <v>384808.44</v>
      </c>
      <c r="C19" s="53">
        <f>SUM(C20:C29)</f>
        <v>525480.53</v>
      </c>
      <c r="D19" s="53">
        <f>SUM(D20:D29)</f>
        <v>38450.86</v>
      </c>
      <c r="E19" s="53"/>
      <c r="F19" s="53">
        <f>F20+F21+F22+F23+F24+F25+F29</f>
        <v>71920.48</v>
      </c>
      <c r="G19" s="53">
        <f>SUM(B19:F19)</f>
        <v>1020660.3099999999</v>
      </c>
    </row>
    <row r="20" spans="1:7" ht="12.75">
      <c r="A20" s="51" t="s">
        <v>96</v>
      </c>
      <c r="B20" s="52">
        <v>0</v>
      </c>
      <c r="C20" s="52">
        <v>0</v>
      </c>
      <c r="D20" s="52"/>
      <c r="E20" s="52"/>
      <c r="F20" s="52"/>
      <c r="G20" s="52">
        <f>SUM(B20:C20)</f>
        <v>0</v>
      </c>
    </row>
    <row r="21" spans="1:7" ht="12.75">
      <c r="A21" s="51" t="s">
        <v>97</v>
      </c>
      <c r="B21" s="52">
        <v>0</v>
      </c>
      <c r="C21" s="52">
        <v>0</v>
      </c>
      <c r="D21" s="52"/>
      <c r="E21" s="52"/>
      <c r="F21" s="52"/>
      <c r="G21" s="52">
        <f aca="true" t="shared" si="0" ref="G21:G29">+B21+C21</f>
        <v>0</v>
      </c>
    </row>
    <row r="22" spans="1:7" ht="12.75">
      <c r="A22" s="51" t="s">
        <v>98</v>
      </c>
      <c r="B22" s="52">
        <v>0</v>
      </c>
      <c r="C22" s="175">
        <v>163666</v>
      </c>
      <c r="D22" s="52">
        <v>9310</v>
      </c>
      <c r="E22" s="52"/>
      <c r="F22" s="52"/>
      <c r="G22" s="52">
        <f t="shared" si="0"/>
        <v>163666</v>
      </c>
    </row>
    <row r="23" spans="1:7" ht="12.75">
      <c r="A23" s="51" t="s">
        <v>15</v>
      </c>
      <c r="B23" s="52">
        <v>0</v>
      </c>
      <c r="C23" s="175">
        <v>33775</v>
      </c>
      <c r="D23" s="52"/>
      <c r="E23" s="52"/>
      <c r="F23" s="52">
        <v>12400</v>
      </c>
      <c r="G23" s="52">
        <f t="shared" si="0"/>
        <v>33775</v>
      </c>
    </row>
    <row r="24" spans="1:9" ht="12.75">
      <c r="A24" s="51" t="s">
        <v>16</v>
      </c>
      <c r="B24" s="52">
        <v>0</v>
      </c>
      <c r="C24" s="175">
        <f>600+67300+3200</f>
        <v>71100</v>
      </c>
      <c r="D24" s="52">
        <f>400+6110</f>
        <v>6510</v>
      </c>
      <c r="E24" s="52"/>
      <c r="F24" s="52">
        <v>30200</v>
      </c>
      <c r="G24" s="52">
        <f t="shared" si="0"/>
        <v>71100</v>
      </c>
      <c r="I24" s="7"/>
    </row>
    <row r="25" spans="1:9" ht="12.75">
      <c r="A25" s="51" t="s">
        <v>92</v>
      </c>
      <c r="B25" s="52">
        <v>0</v>
      </c>
      <c r="C25" s="175">
        <v>21080</v>
      </c>
      <c r="D25" s="52">
        <v>13806</v>
      </c>
      <c r="E25" s="52"/>
      <c r="F25" s="52">
        <v>6254</v>
      </c>
      <c r="G25" s="52">
        <f t="shared" si="0"/>
        <v>21080</v>
      </c>
      <c r="H25" s="174"/>
      <c r="I25" s="7"/>
    </row>
    <row r="26" spans="1:9" ht="12.75">
      <c r="A26" s="51" t="s">
        <v>17</v>
      </c>
      <c r="B26" s="52">
        <v>0</v>
      </c>
      <c r="C26" s="175">
        <v>0</v>
      </c>
      <c r="D26" s="52">
        <v>0</v>
      </c>
      <c r="E26" s="52"/>
      <c r="F26" s="52"/>
      <c r="G26" s="52">
        <f t="shared" si="0"/>
        <v>0</v>
      </c>
      <c r="I26" s="7"/>
    </row>
    <row r="27" spans="1:9" ht="12.75">
      <c r="A27" s="51" t="s">
        <v>93</v>
      </c>
      <c r="B27" s="52">
        <v>0</v>
      </c>
      <c r="C27" s="175">
        <v>0</v>
      </c>
      <c r="D27" s="52">
        <v>0</v>
      </c>
      <c r="E27" s="52"/>
      <c r="F27" s="52">
        <v>0</v>
      </c>
      <c r="G27" s="52">
        <f t="shared" si="0"/>
        <v>0</v>
      </c>
      <c r="I27" s="7"/>
    </row>
    <row r="28" spans="1:9" ht="12.75">
      <c r="A28" s="51" t="s">
        <v>22</v>
      </c>
      <c r="B28" s="52">
        <v>384808.44</v>
      </c>
      <c r="C28" s="175">
        <v>232000</v>
      </c>
      <c r="D28" s="52">
        <f>3540</f>
        <v>3540</v>
      </c>
      <c r="E28" s="52"/>
      <c r="F28" s="52"/>
      <c r="G28" s="52">
        <f t="shared" si="0"/>
        <v>616808.44</v>
      </c>
      <c r="I28" s="7"/>
    </row>
    <row r="29" spans="1:9" ht="12.75">
      <c r="A29" s="51" t="s">
        <v>88</v>
      </c>
      <c r="B29" s="52">
        <v>0</v>
      </c>
      <c r="C29" s="175">
        <f>37.1+150+100+163.8+150+300+100+435.96+175+481.73+100+300+175+100+175+100+212.21+120+21.35+362.38+100</f>
        <v>3859.53</v>
      </c>
      <c r="D29" s="52">
        <v>5284.86</v>
      </c>
      <c r="E29" s="52"/>
      <c r="F29" s="52">
        <v>23066.48</v>
      </c>
      <c r="G29" s="52">
        <f t="shared" si="0"/>
        <v>3859.53</v>
      </c>
      <c r="I29" s="7"/>
    </row>
    <row r="30" spans="1:9" ht="12.75">
      <c r="A30" s="50"/>
      <c r="B30" s="52"/>
      <c r="C30" s="175"/>
      <c r="D30" s="52"/>
      <c r="E30" s="52"/>
      <c r="F30" s="52"/>
      <c r="G30" s="52"/>
      <c r="I30" s="7"/>
    </row>
    <row r="31" spans="1:9" ht="12.75">
      <c r="A31" s="72" t="s">
        <v>51</v>
      </c>
      <c r="B31" s="53">
        <f>SUM(B32:B38)</f>
        <v>0</v>
      </c>
      <c r="C31" s="53">
        <f>SUM(C32:C38)</f>
        <v>180031.39</v>
      </c>
      <c r="D31" s="53">
        <f>SUM(D32:D38)</f>
        <v>353564.68999999994</v>
      </c>
      <c r="E31" s="53"/>
      <c r="F31" s="53">
        <f>SUM(F32:F38)</f>
        <v>172175</v>
      </c>
      <c r="G31" s="53">
        <f>SUM(G32:G38)</f>
        <v>524127.35000000003</v>
      </c>
      <c r="I31" s="7"/>
    </row>
    <row r="32" spans="1:9" ht="12.75">
      <c r="A32" s="51" t="s">
        <v>100</v>
      </c>
      <c r="B32" s="52">
        <v>0</v>
      </c>
      <c r="C32" s="175">
        <v>132686.73</v>
      </c>
      <c r="D32" s="52">
        <v>164320.96</v>
      </c>
      <c r="E32" s="52"/>
      <c r="F32" s="52">
        <v>157775</v>
      </c>
      <c r="G32" s="52">
        <f>SUM(B32:F32)</f>
        <v>454782.69</v>
      </c>
      <c r="I32" s="7"/>
    </row>
    <row r="33" spans="1:9" ht="12.75">
      <c r="A33" s="51" t="s">
        <v>123</v>
      </c>
      <c r="B33" s="52">
        <v>0</v>
      </c>
      <c r="C33" s="175">
        <v>0</v>
      </c>
      <c r="D33" s="52">
        <v>134999.86</v>
      </c>
      <c r="E33" s="52"/>
      <c r="F33" s="52"/>
      <c r="G33" s="52">
        <f>+B33+C33</f>
        <v>0</v>
      </c>
      <c r="I33" s="7"/>
    </row>
    <row r="34" spans="1:9" ht="12.75">
      <c r="A34" s="51" t="s">
        <v>101</v>
      </c>
      <c r="B34" s="52">
        <v>0</v>
      </c>
      <c r="C34" s="175">
        <v>1876.2</v>
      </c>
      <c r="D34" s="52">
        <v>33802.12</v>
      </c>
      <c r="E34" s="52"/>
      <c r="F34" s="52"/>
      <c r="G34" s="52">
        <f>+B34+C34</f>
        <v>1876.2</v>
      </c>
      <c r="I34" s="7"/>
    </row>
    <row r="35" spans="1:9" ht="12.75">
      <c r="A35" s="51" t="s">
        <v>19</v>
      </c>
      <c r="B35" s="52">
        <v>0</v>
      </c>
      <c r="C35" s="175">
        <v>45000</v>
      </c>
      <c r="D35" s="52">
        <v>7600</v>
      </c>
      <c r="E35" s="52"/>
      <c r="F35" s="52">
        <v>14400</v>
      </c>
      <c r="G35" s="52">
        <f>SUM(B35:F35)</f>
        <v>67000</v>
      </c>
      <c r="I35" s="7"/>
    </row>
    <row r="36" spans="1:9" ht="12.75">
      <c r="A36" s="51" t="s">
        <v>20</v>
      </c>
      <c r="B36" s="52">
        <v>0</v>
      </c>
      <c r="C36" s="175">
        <v>0</v>
      </c>
      <c r="D36" s="52"/>
      <c r="E36" s="52"/>
      <c r="F36" s="52">
        <v>0</v>
      </c>
      <c r="G36" s="52">
        <f>+B36+C36</f>
        <v>0</v>
      </c>
      <c r="I36" s="7"/>
    </row>
    <row r="37" spans="1:9" ht="12.75">
      <c r="A37" s="51" t="s">
        <v>21</v>
      </c>
      <c r="B37" s="52">
        <v>0</v>
      </c>
      <c r="C37" s="175">
        <v>0</v>
      </c>
      <c r="D37" s="52"/>
      <c r="E37" s="52"/>
      <c r="F37" s="52"/>
      <c r="G37" s="53">
        <f>+B37+C37</f>
        <v>0</v>
      </c>
      <c r="I37" s="7"/>
    </row>
    <row r="38" spans="1:9" ht="12.75">
      <c r="A38" s="51" t="s">
        <v>94</v>
      </c>
      <c r="B38" s="52">
        <v>0</v>
      </c>
      <c r="C38" s="175">
        <v>468.46</v>
      </c>
      <c r="D38" s="52">
        <v>12841.75</v>
      </c>
      <c r="E38" s="52"/>
      <c r="F38" s="52"/>
      <c r="G38" s="52">
        <f>+B38+C38</f>
        <v>468.46</v>
      </c>
      <c r="I38" s="7"/>
    </row>
    <row r="39" spans="1:9" ht="12.75">
      <c r="A39" s="51"/>
      <c r="B39" s="52"/>
      <c r="C39" s="52"/>
      <c r="D39" s="52"/>
      <c r="E39" s="52"/>
      <c r="F39" s="52"/>
      <c r="G39" s="52"/>
      <c r="I39" s="7"/>
    </row>
    <row r="40" spans="1:9" ht="12.75">
      <c r="A40" s="49" t="s">
        <v>90</v>
      </c>
      <c r="B40" s="52">
        <f>SUM(B41)</f>
        <v>0</v>
      </c>
      <c r="C40" s="53">
        <f>SUM(C41:C42)</f>
        <v>0</v>
      </c>
      <c r="D40" s="53">
        <f>SUM(D41:D42)</f>
        <v>670859.56</v>
      </c>
      <c r="E40" s="53"/>
      <c r="F40" s="53"/>
      <c r="G40" s="53">
        <f>SUM(G41:G42)</f>
        <v>0</v>
      </c>
      <c r="I40" s="7"/>
    </row>
    <row r="41" spans="1:9" ht="12.75">
      <c r="A41" s="51" t="s">
        <v>114</v>
      </c>
      <c r="B41" s="52">
        <v>0</v>
      </c>
      <c r="C41" s="52">
        <v>0</v>
      </c>
      <c r="D41" s="52">
        <v>670859.56</v>
      </c>
      <c r="E41" s="52"/>
      <c r="F41" s="52"/>
      <c r="G41" s="52">
        <f>+B41+C41</f>
        <v>0</v>
      </c>
      <c r="I41" s="7"/>
    </row>
    <row r="42" spans="1:9" ht="12.75">
      <c r="A42" s="51" t="s">
        <v>124</v>
      </c>
      <c r="B42" s="52"/>
      <c r="C42" s="52">
        <v>0</v>
      </c>
      <c r="D42" s="52"/>
      <c r="E42" s="52"/>
      <c r="F42" s="52"/>
      <c r="G42" s="52">
        <f>SUM(B42:C42)</f>
        <v>0</v>
      </c>
      <c r="I42" s="7"/>
    </row>
    <row r="43" spans="1:9" ht="12.75">
      <c r="A43" s="49" t="s">
        <v>109</v>
      </c>
      <c r="B43" s="54">
        <f>SUM(B44:B48)</f>
        <v>0</v>
      </c>
      <c r="C43" s="54">
        <f>SUM(C44:C48)</f>
        <v>0</v>
      </c>
      <c r="D43" s="54">
        <f>SUM(D44:D48)</f>
        <v>0</v>
      </c>
      <c r="E43" s="54"/>
      <c r="F43" s="54">
        <f>SUM(F44:F48)</f>
        <v>0</v>
      </c>
      <c r="G43" s="54">
        <f aca="true" t="shared" si="1" ref="G43:G48">SUM(B43:F43)</f>
        <v>0</v>
      </c>
      <c r="I43" s="7"/>
    </row>
    <row r="44" spans="1:9" ht="12.75">
      <c r="A44" s="51" t="s">
        <v>130</v>
      </c>
      <c r="B44" s="52">
        <v>0</v>
      </c>
      <c r="C44" s="52">
        <v>0</v>
      </c>
      <c r="D44" s="52">
        <v>0</v>
      </c>
      <c r="E44" s="52"/>
      <c r="F44" s="52"/>
      <c r="G44" s="52">
        <f t="shared" si="1"/>
        <v>0</v>
      </c>
      <c r="I44" s="7"/>
    </row>
    <row r="45" spans="1:9" ht="12.75">
      <c r="A45" s="51" t="s">
        <v>27</v>
      </c>
      <c r="B45" s="52"/>
      <c r="C45" s="52"/>
      <c r="D45" s="52">
        <v>0</v>
      </c>
      <c r="E45" s="52"/>
      <c r="F45" s="52"/>
      <c r="G45" s="52">
        <f t="shared" si="1"/>
        <v>0</v>
      </c>
      <c r="I45" s="7"/>
    </row>
    <row r="46" spans="1:7" ht="12.75">
      <c r="A46" s="51" t="s">
        <v>87</v>
      </c>
      <c r="B46" s="52"/>
      <c r="C46" s="52"/>
      <c r="D46" s="52">
        <v>0</v>
      </c>
      <c r="E46" s="52"/>
      <c r="F46" s="52"/>
      <c r="G46" s="52">
        <f t="shared" si="1"/>
        <v>0</v>
      </c>
    </row>
    <row r="47" spans="1:7" ht="12.75">
      <c r="A47" s="51" t="s">
        <v>89</v>
      </c>
      <c r="B47" s="52"/>
      <c r="C47" s="52"/>
      <c r="D47" s="52">
        <v>0</v>
      </c>
      <c r="E47" s="52"/>
      <c r="F47" s="52"/>
      <c r="G47" s="52">
        <f t="shared" si="1"/>
        <v>0</v>
      </c>
    </row>
    <row r="48" spans="1:7" ht="13.5" thickBot="1">
      <c r="A48" s="130"/>
      <c r="B48" s="131"/>
      <c r="C48" s="131"/>
      <c r="D48" s="131"/>
      <c r="E48" s="131"/>
      <c r="F48" s="131"/>
      <c r="G48" s="131">
        <f t="shared" si="1"/>
        <v>0</v>
      </c>
    </row>
    <row r="49" spans="1:9" ht="13.5" thickBot="1">
      <c r="A49" s="134" t="s">
        <v>121</v>
      </c>
      <c r="B49" s="137">
        <f>+B19+B31+B40+B43</f>
        <v>384808.44</v>
      </c>
      <c r="C49" s="137">
        <f>+C19+C31+C40+C43+C15</f>
        <v>705511.92</v>
      </c>
      <c r="D49" s="137">
        <f>+D19+D31+D40+D43+D15</f>
        <v>1062875.1099999999</v>
      </c>
      <c r="E49" s="137"/>
      <c r="F49" s="138">
        <f>F19+F31</f>
        <v>244095.47999999998</v>
      </c>
      <c r="G49" s="139">
        <f>+G19+G31+G40+G43+G15</f>
        <v>1544787.66</v>
      </c>
      <c r="I49" s="7"/>
    </row>
    <row r="50" spans="1:9" ht="13.5" thickBot="1">
      <c r="A50" s="140"/>
      <c r="B50" s="141"/>
      <c r="C50" s="141"/>
      <c r="D50" s="141"/>
      <c r="E50" s="141"/>
      <c r="F50" s="142"/>
      <c r="G50" s="141"/>
      <c r="I50" s="7"/>
    </row>
    <row r="51" spans="1:9" ht="13.5" thickBot="1">
      <c r="A51" s="134" t="s">
        <v>162</v>
      </c>
      <c r="B51" s="137">
        <v>2000000</v>
      </c>
      <c r="C51" s="137">
        <v>117160.45</v>
      </c>
      <c r="D51" s="137">
        <f>531444+353220+171989.5</f>
        <v>1056653.5</v>
      </c>
      <c r="E51" s="53">
        <v>514165.45</v>
      </c>
      <c r="F51" s="135"/>
      <c r="G51" s="136"/>
      <c r="I51" s="7"/>
    </row>
    <row r="52" spans="1:9" ht="12.75">
      <c r="A52" s="75" t="s">
        <v>131</v>
      </c>
      <c r="B52" s="132"/>
      <c r="C52" s="132"/>
      <c r="D52" s="132"/>
      <c r="E52" s="132"/>
      <c r="F52" s="133"/>
      <c r="G52" s="132"/>
      <c r="I52" s="7"/>
    </row>
    <row r="53" spans="1:7" ht="12.75">
      <c r="A53" s="98" t="s">
        <v>189</v>
      </c>
      <c r="B53" s="53">
        <v>3960.27</v>
      </c>
      <c r="C53" s="53">
        <v>445212.13</v>
      </c>
      <c r="D53" s="53">
        <v>300.14</v>
      </c>
      <c r="E53" s="53"/>
      <c r="F53" s="53">
        <v>767533.95</v>
      </c>
      <c r="G53" s="77"/>
    </row>
    <row r="54" spans="1:7" ht="13.5" thickBot="1">
      <c r="A54" s="157" t="s">
        <v>179</v>
      </c>
      <c r="B54" s="158">
        <v>0</v>
      </c>
      <c r="C54" s="161">
        <v>143139.34</v>
      </c>
      <c r="D54" s="159">
        <v>7592</v>
      </c>
      <c r="E54" s="159"/>
      <c r="F54" s="159">
        <v>20439.01</v>
      </c>
      <c r="G54" s="158"/>
    </row>
    <row r="55" spans="1:7" ht="13.5" thickBot="1">
      <c r="A55" s="134"/>
      <c r="B55" s="137">
        <f>SUM(B51:B54)</f>
        <v>2003960.27</v>
      </c>
      <c r="C55" s="137">
        <f>C51+C53+C54</f>
        <v>705511.9199999999</v>
      </c>
      <c r="D55" s="137">
        <f>SUM(D51:D54)</f>
        <v>1064545.64</v>
      </c>
      <c r="E55" s="137">
        <f>SUM(E51:E54)</f>
        <v>514165.45</v>
      </c>
      <c r="F55" s="137">
        <f>SUM(F53:F54)</f>
        <v>787972.96</v>
      </c>
      <c r="G55" s="136"/>
    </row>
    <row r="56" spans="1:7" ht="12.75">
      <c r="A56" s="75"/>
      <c r="B56" s="132"/>
      <c r="C56" s="132"/>
      <c r="D56" s="132"/>
      <c r="E56" s="132"/>
      <c r="F56" s="133"/>
      <c r="G56" s="132"/>
    </row>
    <row r="57" spans="1:6" ht="15.75">
      <c r="A57" s="76"/>
      <c r="C57" s="118">
        <f>C55-C49</f>
        <v>0</v>
      </c>
      <c r="F57" s="118"/>
    </row>
    <row r="58" spans="1:3" ht="12.75">
      <c r="A58" s="124"/>
      <c r="B58" s="124"/>
      <c r="C58" s="115" t="s">
        <v>190</v>
      </c>
    </row>
    <row r="59" spans="1:3" ht="12.75">
      <c r="A59" s="125"/>
      <c r="B59" s="126"/>
      <c r="C59" s="114"/>
    </row>
    <row r="60" spans="1:3" ht="12.75">
      <c r="A60" s="125"/>
      <c r="B60" s="126"/>
      <c r="C60" s="114"/>
    </row>
    <row r="61" spans="1:3" ht="12.75">
      <c r="A61" s="713"/>
      <c r="B61" s="127"/>
      <c r="C61" s="114"/>
    </row>
    <row r="62" spans="1:3" ht="12.75">
      <c r="A62" s="713"/>
      <c r="B62" s="126"/>
      <c r="C62" s="114"/>
    </row>
    <row r="63" spans="1:3" ht="12.75">
      <c r="A63" s="125"/>
      <c r="B63" s="126"/>
      <c r="C63" s="114"/>
    </row>
    <row r="64" spans="1:3" ht="12.75">
      <c r="A64" s="128"/>
      <c r="B64" s="129"/>
      <c r="C64" s="114"/>
    </row>
    <row r="65" spans="1:3" ht="12.75">
      <c r="A65" s="114"/>
      <c r="B65" s="114"/>
      <c r="C65" s="114"/>
    </row>
    <row r="66" spans="1:3" ht="12.75">
      <c r="A66" s="114"/>
      <c r="B66" s="114"/>
      <c r="C66" s="114"/>
    </row>
  </sheetData>
  <sheetProtection/>
  <mergeCells count="5">
    <mergeCell ref="A61:A62"/>
    <mergeCell ref="A8:G8"/>
    <mergeCell ref="A9:G9"/>
    <mergeCell ref="A10:G10"/>
    <mergeCell ref="A11:G11"/>
  </mergeCells>
  <printOptions/>
  <pageMargins left="0.1968503937007874" right="0.15748031496062992" top="0.984251968503937" bottom="0.984251968503937" header="0.15748031496062992" footer="0"/>
  <pageSetup orientation="portrait" scale="8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0:Q450"/>
  <sheetViews>
    <sheetView tabSelected="1" zoomScalePageLayoutView="0" workbookViewId="0" topLeftCell="A1">
      <selection activeCell="G6" sqref="G6"/>
    </sheetView>
  </sheetViews>
  <sheetFormatPr defaultColWidth="11.421875" defaultRowHeight="12.75"/>
  <cols>
    <col min="4" max="4" width="18.7109375" style="0" customWidth="1"/>
    <col min="7" max="7" width="17.57421875" style="0" customWidth="1"/>
    <col min="10" max="10" width="23.140625" style="0" customWidth="1"/>
    <col min="11" max="11" width="14.28125" style="0" customWidth="1"/>
    <col min="13" max="13" width="20.421875" style="0" customWidth="1"/>
    <col min="15" max="15" width="17.00390625" style="0" customWidth="1"/>
  </cols>
  <sheetData>
    <row r="10" spans="1:6" ht="25.5">
      <c r="A10" s="356"/>
      <c r="B10" s="746" t="s">
        <v>341</v>
      </c>
      <c r="C10" s="747"/>
      <c r="D10" s="677">
        <v>1585.9</v>
      </c>
      <c r="E10" s="677">
        <v>0</v>
      </c>
      <c r="F10" s="676" t="s">
        <v>241</v>
      </c>
    </row>
    <row r="11" spans="1:6" ht="15">
      <c r="A11" s="356"/>
      <c r="B11" s="746" t="s">
        <v>341</v>
      </c>
      <c r="C11" s="747"/>
      <c r="D11" s="677">
        <v>0</v>
      </c>
      <c r="E11" s="677">
        <v>0</v>
      </c>
      <c r="F11" s="676" t="s">
        <v>316</v>
      </c>
    </row>
    <row r="12" spans="1:6" ht="25.5">
      <c r="A12" s="356"/>
      <c r="B12" s="746" t="s">
        <v>341</v>
      </c>
      <c r="C12" s="747"/>
      <c r="D12" s="678">
        <v>3246.28</v>
      </c>
      <c r="E12" s="677">
        <v>0</v>
      </c>
      <c r="F12" s="676" t="s">
        <v>241</v>
      </c>
    </row>
    <row r="13" spans="1:6" ht="12.75">
      <c r="A13" s="55"/>
      <c r="B13" s="55"/>
      <c r="C13" s="55"/>
      <c r="D13" s="679">
        <f>SUM(D10:D12)</f>
        <v>4832.18</v>
      </c>
      <c r="E13" s="55"/>
      <c r="F13" s="55"/>
    </row>
    <row r="14" spans="1:6" ht="12.75">
      <c r="A14" s="55"/>
      <c r="B14" s="55"/>
      <c r="C14" s="55"/>
      <c r="D14" s="55"/>
      <c r="E14" s="55"/>
      <c r="F14" s="55"/>
    </row>
    <row r="15" spans="1:6" ht="25.5">
      <c r="A15" s="356"/>
      <c r="B15" s="746" t="s">
        <v>347</v>
      </c>
      <c r="C15" s="747"/>
      <c r="D15" s="712">
        <v>132.25</v>
      </c>
      <c r="E15" s="677">
        <v>0</v>
      </c>
      <c r="F15" s="676" t="s">
        <v>241</v>
      </c>
    </row>
    <row r="16" spans="1:6" ht="12.75">
      <c r="A16" s="55"/>
      <c r="B16" s="55"/>
      <c r="C16" s="55"/>
      <c r="D16" s="55"/>
      <c r="E16" s="55"/>
      <c r="F16" s="55"/>
    </row>
    <row r="17" spans="1:6" ht="12.75">
      <c r="A17" s="55"/>
      <c r="B17" s="55"/>
      <c r="C17" s="55"/>
      <c r="D17" s="55"/>
      <c r="E17" s="55"/>
      <c r="F17" s="55"/>
    </row>
    <row r="18" spans="1:6" ht="25.5">
      <c r="A18" s="356"/>
      <c r="B18" s="746" t="s">
        <v>240</v>
      </c>
      <c r="C18" s="747"/>
      <c r="D18" s="677">
        <v>29280</v>
      </c>
      <c r="E18" s="677">
        <v>0</v>
      </c>
      <c r="F18" s="676" t="s">
        <v>241</v>
      </c>
    </row>
    <row r="19" spans="1:6" ht="25.5">
      <c r="A19" s="356"/>
      <c r="B19" s="746" t="s">
        <v>240</v>
      </c>
      <c r="C19" s="747"/>
      <c r="D19" s="677">
        <v>3900</v>
      </c>
      <c r="E19" s="677">
        <v>0</v>
      </c>
      <c r="F19" s="676" t="s">
        <v>241</v>
      </c>
    </row>
    <row r="20" spans="1:6" ht="25.5">
      <c r="A20" s="356"/>
      <c r="B20" s="746" t="s">
        <v>240</v>
      </c>
      <c r="C20" s="747"/>
      <c r="D20" s="677">
        <v>1500</v>
      </c>
      <c r="E20" s="677">
        <v>0</v>
      </c>
      <c r="F20" s="676" t="s">
        <v>241</v>
      </c>
    </row>
    <row r="21" spans="1:6" ht="25.5">
      <c r="A21" s="356"/>
      <c r="B21" s="746" t="s">
        <v>240</v>
      </c>
      <c r="C21" s="747"/>
      <c r="D21" s="677">
        <v>2400</v>
      </c>
      <c r="E21" s="677">
        <v>0</v>
      </c>
      <c r="F21" s="676" t="s">
        <v>241</v>
      </c>
    </row>
    <row r="22" spans="1:6" ht="25.5">
      <c r="A22" s="356"/>
      <c r="B22" s="746" t="s">
        <v>240</v>
      </c>
      <c r="C22" s="747"/>
      <c r="D22" s="677">
        <v>1500</v>
      </c>
      <c r="E22" s="677">
        <v>0</v>
      </c>
      <c r="F22" s="676" t="s">
        <v>241</v>
      </c>
    </row>
    <row r="23" spans="1:6" ht="25.5">
      <c r="A23" s="356"/>
      <c r="B23" s="746" t="s">
        <v>240</v>
      </c>
      <c r="C23" s="747"/>
      <c r="D23" s="677">
        <v>1500</v>
      </c>
      <c r="E23" s="677">
        <v>0</v>
      </c>
      <c r="F23" s="676" t="s">
        <v>241</v>
      </c>
    </row>
    <row r="24" spans="1:6" ht="25.5">
      <c r="A24" s="356"/>
      <c r="B24" s="746" t="s">
        <v>240</v>
      </c>
      <c r="C24" s="747"/>
      <c r="D24" s="677">
        <v>28560</v>
      </c>
      <c r="E24" s="677">
        <v>0</v>
      </c>
      <c r="F24" s="676" t="s">
        <v>241</v>
      </c>
    </row>
    <row r="25" spans="1:6" ht="25.5">
      <c r="A25" s="356"/>
      <c r="B25" s="746" t="s">
        <v>240</v>
      </c>
      <c r="C25" s="747"/>
      <c r="D25" s="677">
        <v>3900</v>
      </c>
      <c r="E25" s="677">
        <v>0</v>
      </c>
      <c r="F25" s="676" t="s">
        <v>241</v>
      </c>
    </row>
    <row r="26" spans="1:6" ht="25.5">
      <c r="A26" s="356"/>
      <c r="B26" s="746" t="s">
        <v>240</v>
      </c>
      <c r="C26" s="747"/>
      <c r="D26" s="677">
        <v>1500</v>
      </c>
      <c r="E26" s="677">
        <v>0</v>
      </c>
      <c r="F26" s="676" t="s">
        <v>241</v>
      </c>
    </row>
    <row r="27" spans="1:6" ht="25.5">
      <c r="A27" s="356"/>
      <c r="B27" s="746" t="s">
        <v>240</v>
      </c>
      <c r="C27" s="747"/>
      <c r="D27" s="677">
        <v>2400</v>
      </c>
      <c r="E27" s="677">
        <v>0</v>
      </c>
      <c r="F27" s="676" t="s">
        <v>241</v>
      </c>
    </row>
    <row r="28" spans="1:6" ht="25.5">
      <c r="A28" s="356"/>
      <c r="B28" s="746" t="s">
        <v>240</v>
      </c>
      <c r="C28" s="747"/>
      <c r="D28" s="677">
        <v>1500</v>
      </c>
      <c r="E28" s="677">
        <v>0</v>
      </c>
      <c r="F28" s="676" t="s">
        <v>241</v>
      </c>
    </row>
    <row r="29" spans="1:6" ht="15">
      <c r="A29" s="356"/>
      <c r="B29" s="746" t="s">
        <v>240</v>
      </c>
      <c r="C29" s="747"/>
      <c r="D29" s="677">
        <v>0</v>
      </c>
      <c r="E29" s="677">
        <v>0</v>
      </c>
      <c r="F29" s="676" t="s">
        <v>316</v>
      </c>
    </row>
    <row r="30" spans="1:6" ht="25.5">
      <c r="A30" s="356"/>
      <c r="B30" s="746" t="s">
        <v>240</v>
      </c>
      <c r="C30" s="747"/>
      <c r="D30" s="677">
        <v>3900</v>
      </c>
      <c r="E30" s="677">
        <v>0</v>
      </c>
      <c r="F30" s="676" t="s">
        <v>241</v>
      </c>
    </row>
    <row r="31" spans="1:6" ht="25.5">
      <c r="A31" s="356"/>
      <c r="B31" s="746" t="s">
        <v>240</v>
      </c>
      <c r="C31" s="747"/>
      <c r="D31" s="677">
        <v>1500</v>
      </c>
      <c r="E31" s="677">
        <v>0</v>
      </c>
      <c r="F31" s="676" t="s">
        <v>241</v>
      </c>
    </row>
    <row r="32" spans="1:6" ht="25.5">
      <c r="A32" s="356"/>
      <c r="B32" s="746" t="s">
        <v>240</v>
      </c>
      <c r="C32" s="747"/>
      <c r="D32" s="677">
        <v>2400</v>
      </c>
      <c r="E32" s="677">
        <v>0</v>
      </c>
      <c r="F32" s="676" t="s">
        <v>241</v>
      </c>
    </row>
    <row r="33" spans="1:6" ht="25.5">
      <c r="A33" s="356"/>
      <c r="B33" s="746" t="s">
        <v>240</v>
      </c>
      <c r="C33" s="747"/>
      <c r="D33" s="677">
        <v>1500</v>
      </c>
      <c r="E33" s="677">
        <v>0</v>
      </c>
      <c r="F33" s="676" t="s">
        <v>241</v>
      </c>
    </row>
    <row r="34" spans="1:6" ht="25.5">
      <c r="A34" s="356"/>
      <c r="B34" s="746" t="s">
        <v>240</v>
      </c>
      <c r="C34" s="747"/>
      <c r="D34" s="677">
        <v>1500</v>
      </c>
      <c r="E34" s="677">
        <v>0</v>
      </c>
      <c r="F34" s="676" t="s">
        <v>241</v>
      </c>
    </row>
    <row r="35" spans="1:6" ht="25.5">
      <c r="A35" s="356"/>
      <c r="B35" s="746" t="s">
        <v>240</v>
      </c>
      <c r="C35" s="747"/>
      <c r="D35" s="677">
        <v>1500</v>
      </c>
      <c r="E35" s="677">
        <v>0</v>
      </c>
      <c r="F35" s="676" t="s">
        <v>241</v>
      </c>
    </row>
    <row r="36" spans="1:6" ht="25.5">
      <c r="A36" s="356"/>
      <c r="B36" s="746" t="s">
        <v>240</v>
      </c>
      <c r="C36" s="747"/>
      <c r="D36" s="677">
        <v>5600</v>
      </c>
      <c r="E36" s="677">
        <v>0</v>
      </c>
      <c r="F36" s="676" t="s">
        <v>241</v>
      </c>
    </row>
    <row r="37" spans="1:6" ht="25.5">
      <c r="A37" s="356"/>
      <c r="B37" s="746" t="s">
        <v>240</v>
      </c>
      <c r="C37" s="747"/>
      <c r="D37" s="677">
        <v>3500</v>
      </c>
      <c r="E37" s="677">
        <v>0</v>
      </c>
      <c r="F37" s="676" t="s">
        <v>241</v>
      </c>
    </row>
    <row r="38" spans="1:6" ht="25.5">
      <c r="A38" s="356"/>
      <c r="B38" s="746" t="s">
        <v>240</v>
      </c>
      <c r="C38" s="747"/>
      <c r="D38" s="677">
        <v>3900</v>
      </c>
      <c r="E38" s="677">
        <v>0</v>
      </c>
      <c r="F38" s="676" t="s">
        <v>241</v>
      </c>
    </row>
    <row r="39" spans="1:6" ht="25.5">
      <c r="A39" s="356"/>
      <c r="B39" s="746" t="s">
        <v>240</v>
      </c>
      <c r="C39" s="747"/>
      <c r="D39" s="677">
        <v>1500</v>
      </c>
      <c r="E39" s="677">
        <v>0</v>
      </c>
      <c r="F39" s="676" t="s">
        <v>241</v>
      </c>
    </row>
    <row r="40" spans="1:6" ht="25.5">
      <c r="A40" s="356"/>
      <c r="B40" s="746" t="s">
        <v>240</v>
      </c>
      <c r="C40" s="747"/>
      <c r="D40" s="677">
        <v>1500</v>
      </c>
      <c r="E40" s="677">
        <v>0</v>
      </c>
      <c r="F40" s="676" t="s">
        <v>241</v>
      </c>
    </row>
    <row r="41" spans="1:6" ht="25.5">
      <c r="A41" s="356"/>
      <c r="B41" s="746" t="s">
        <v>240</v>
      </c>
      <c r="C41" s="747"/>
      <c r="D41" s="677">
        <v>2400</v>
      </c>
      <c r="E41" s="677">
        <v>0</v>
      </c>
      <c r="F41" s="676" t="s">
        <v>241</v>
      </c>
    </row>
    <row r="42" spans="1:6" ht="25.5">
      <c r="A42" s="356"/>
      <c r="B42" s="746" t="s">
        <v>240</v>
      </c>
      <c r="C42" s="747"/>
      <c r="D42" s="677">
        <v>1500</v>
      </c>
      <c r="E42" s="677">
        <v>0</v>
      </c>
      <c r="F42" s="676" t="s">
        <v>241</v>
      </c>
    </row>
    <row r="43" spans="1:6" ht="25.5">
      <c r="A43" s="356"/>
      <c r="B43" s="746" t="s">
        <v>240</v>
      </c>
      <c r="C43" s="747"/>
      <c r="D43" s="677">
        <v>2700</v>
      </c>
      <c r="E43" s="677">
        <v>0</v>
      </c>
      <c r="F43" s="676" t="s">
        <v>241</v>
      </c>
    </row>
    <row r="44" spans="1:6" ht="25.5">
      <c r="A44" s="356"/>
      <c r="B44" s="746" t="s">
        <v>240</v>
      </c>
      <c r="C44" s="747"/>
      <c r="D44" s="677">
        <v>1800</v>
      </c>
      <c r="E44" s="677">
        <v>0</v>
      </c>
      <c r="F44" s="676" t="s">
        <v>241</v>
      </c>
    </row>
    <row r="45" spans="1:6" ht="25.5">
      <c r="A45" s="356"/>
      <c r="B45" s="746" t="s">
        <v>240</v>
      </c>
      <c r="C45" s="747"/>
      <c r="D45" s="677">
        <v>1800</v>
      </c>
      <c r="E45" s="677">
        <v>0</v>
      </c>
      <c r="F45" s="676" t="s">
        <v>241</v>
      </c>
    </row>
    <row r="46" spans="1:6" ht="25.5">
      <c r="A46" s="356"/>
      <c r="B46" s="746" t="s">
        <v>240</v>
      </c>
      <c r="C46" s="747"/>
      <c r="D46" s="677">
        <v>1800</v>
      </c>
      <c r="E46" s="677">
        <v>0</v>
      </c>
      <c r="F46" s="676" t="s">
        <v>241</v>
      </c>
    </row>
    <row r="47" spans="1:6" ht="25.5">
      <c r="A47" s="356"/>
      <c r="B47" s="746" t="s">
        <v>240</v>
      </c>
      <c r="C47" s="747"/>
      <c r="D47" s="677">
        <v>1800</v>
      </c>
      <c r="E47" s="677">
        <v>0</v>
      </c>
      <c r="F47" s="676" t="s">
        <v>241</v>
      </c>
    </row>
    <row r="48" spans="1:6" ht="15">
      <c r="A48" s="356"/>
      <c r="B48" s="746" t="s">
        <v>240</v>
      </c>
      <c r="C48" s="747"/>
      <c r="D48" s="677">
        <v>0</v>
      </c>
      <c r="E48" s="677">
        <v>0</v>
      </c>
      <c r="F48" s="676" t="s">
        <v>316</v>
      </c>
    </row>
    <row r="49" spans="1:6" ht="25.5">
      <c r="A49" s="356"/>
      <c r="B49" s="746" t="s">
        <v>240</v>
      </c>
      <c r="C49" s="747"/>
      <c r="D49" s="677">
        <v>1500</v>
      </c>
      <c r="E49" s="677">
        <v>0</v>
      </c>
      <c r="F49" s="676" t="s">
        <v>241</v>
      </c>
    </row>
    <row r="50" spans="1:6" ht="15">
      <c r="A50" s="356"/>
      <c r="B50" s="746" t="s">
        <v>240</v>
      </c>
      <c r="C50" s="747"/>
      <c r="D50" s="677">
        <v>0</v>
      </c>
      <c r="E50" s="677">
        <v>0</v>
      </c>
      <c r="F50" s="676" t="s">
        <v>316</v>
      </c>
    </row>
    <row r="51" spans="1:6" ht="25.5">
      <c r="A51" s="356"/>
      <c r="B51" s="746" t="s">
        <v>240</v>
      </c>
      <c r="C51" s="747"/>
      <c r="D51" s="677">
        <v>1800</v>
      </c>
      <c r="E51" s="677">
        <v>0</v>
      </c>
      <c r="F51" s="676" t="s">
        <v>241</v>
      </c>
    </row>
    <row r="52" spans="1:6" ht="25.5">
      <c r="A52" s="356"/>
      <c r="B52" s="746" t="s">
        <v>240</v>
      </c>
      <c r="C52" s="747"/>
      <c r="D52" s="677">
        <v>1800</v>
      </c>
      <c r="E52" s="677">
        <v>0</v>
      </c>
      <c r="F52" s="676" t="s">
        <v>241</v>
      </c>
    </row>
    <row r="53" spans="1:6" ht="25.5">
      <c r="A53" s="356"/>
      <c r="B53" s="746" t="s">
        <v>240</v>
      </c>
      <c r="C53" s="747"/>
      <c r="D53" s="677">
        <v>1500</v>
      </c>
      <c r="E53" s="677">
        <v>0</v>
      </c>
      <c r="F53" s="676" t="s">
        <v>241</v>
      </c>
    </row>
    <row r="54" spans="1:6" ht="25.5">
      <c r="A54" s="356"/>
      <c r="B54" s="746" t="s">
        <v>240</v>
      </c>
      <c r="C54" s="747"/>
      <c r="D54" s="677">
        <v>21960</v>
      </c>
      <c r="E54" s="677">
        <v>0</v>
      </c>
      <c r="F54" s="676" t="s">
        <v>241</v>
      </c>
    </row>
    <row r="55" spans="1:6" ht="25.5">
      <c r="A55" s="356"/>
      <c r="B55" s="746" t="s">
        <v>240</v>
      </c>
      <c r="C55" s="747"/>
      <c r="D55" s="677">
        <v>3900</v>
      </c>
      <c r="E55" s="677">
        <v>0</v>
      </c>
      <c r="F55" s="676" t="s">
        <v>241</v>
      </c>
    </row>
    <row r="56" spans="1:6" ht="25.5">
      <c r="A56" s="356"/>
      <c r="B56" s="746" t="s">
        <v>240</v>
      </c>
      <c r="C56" s="747"/>
      <c r="D56" s="677">
        <v>1500</v>
      </c>
      <c r="E56" s="677">
        <v>0</v>
      </c>
      <c r="F56" s="676" t="s">
        <v>241</v>
      </c>
    </row>
    <row r="57" spans="1:6" ht="25.5">
      <c r="A57" s="356"/>
      <c r="B57" s="746" t="s">
        <v>240</v>
      </c>
      <c r="C57" s="747"/>
      <c r="D57" s="677">
        <v>2400</v>
      </c>
      <c r="E57" s="677">
        <v>0</v>
      </c>
      <c r="F57" s="676" t="s">
        <v>241</v>
      </c>
    </row>
    <row r="58" spans="1:6" ht="25.5">
      <c r="A58" s="356"/>
      <c r="B58" s="746" t="s">
        <v>240</v>
      </c>
      <c r="C58" s="747"/>
      <c r="D58" s="677">
        <v>1500</v>
      </c>
      <c r="E58" s="677">
        <v>0</v>
      </c>
      <c r="F58" s="676" t="s">
        <v>241</v>
      </c>
    </row>
    <row r="59" spans="1:6" ht="25.5">
      <c r="A59" s="356"/>
      <c r="B59" s="746" t="s">
        <v>240</v>
      </c>
      <c r="C59" s="747"/>
      <c r="D59" s="677">
        <v>1500</v>
      </c>
      <c r="E59" s="677">
        <v>0</v>
      </c>
      <c r="F59" s="676" t="s">
        <v>241</v>
      </c>
    </row>
    <row r="60" spans="1:6" ht="25.5">
      <c r="A60" s="356"/>
      <c r="B60" s="746" t="s">
        <v>240</v>
      </c>
      <c r="C60" s="747"/>
      <c r="D60" s="677">
        <v>3900</v>
      </c>
      <c r="E60" s="677">
        <v>0</v>
      </c>
      <c r="F60" s="676" t="s">
        <v>241</v>
      </c>
    </row>
    <row r="61" spans="1:6" ht="25.5">
      <c r="A61" s="356"/>
      <c r="B61" s="746" t="s">
        <v>240</v>
      </c>
      <c r="C61" s="747"/>
      <c r="D61" s="677">
        <v>1500</v>
      </c>
      <c r="E61" s="677">
        <v>0</v>
      </c>
      <c r="F61" s="676" t="s">
        <v>241</v>
      </c>
    </row>
    <row r="62" spans="1:6" ht="25.5">
      <c r="A62" s="356"/>
      <c r="B62" s="746" t="s">
        <v>240</v>
      </c>
      <c r="C62" s="747"/>
      <c r="D62" s="677">
        <v>1500</v>
      </c>
      <c r="E62" s="677">
        <v>0</v>
      </c>
      <c r="F62" s="676" t="s">
        <v>241</v>
      </c>
    </row>
    <row r="63" spans="1:6" ht="25.5">
      <c r="A63" s="356"/>
      <c r="B63" s="746" t="s">
        <v>240</v>
      </c>
      <c r="C63" s="747"/>
      <c r="D63" s="677">
        <v>1500</v>
      </c>
      <c r="E63" s="677">
        <v>0</v>
      </c>
      <c r="F63" s="676" t="s">
        <v>241</v>
      </c>
    </row>
    <row r="64" spans="1:6" ht="25.5">
      <c r="A64" s="356"/>
      <c r="B64" s="746" t="s">
        <v>240</v>
      </c>
      <c r="C64" s="747"/>
      <c r="D64" s="677">
        <v>2400</v>
      </c>
      <c r="E64" s="677">
        <v>0</v>
      </c>
      <c r="F64" s="676" t="s">
        <v>241</v>
      </c>
    </row>
    <row r="65" spans="1:6" ht="25.5">
      <c r="A65" s="356"/>
      <c r="B65" s="746" t="s">
        <v>240</v>
      </c>
      <c r="C65" s="747"/>
      <c r="D65" s="677">
        <v>1600</v>
      </c>
      <c r="E65" s="677">
        <v>0</v>
      </c>
      <c r="F65" s="676" t="s">
        <v>241</v>
      </c>
    </row>
    <row r="66" spans="1:6" ht="25.5">
      <c r="A66" s="356"/>
      <c r="B66" s="746" t="s">
        <v>240</v>
      </c>
      <c r="C66" s="747"/>
      <c r="D66" s="677">
        <v>1000</v>
      </c>
      <c r="E66" s="677">
        <v>0</v>
      </c>
      <c r="F66" s="676" t="s">
        <v>241</v>
      </c>
    </row>
    <row r="67" spans="1:6" ht="25.5">
      <c r="A67" s="356"/>
      <c r="B67" s="746" t="s">
        <v>240</v>
      </c>
      <c r="C67" s="747"/>
      <c r="D67" s="677">
        <v>2400</v>
      </c>
      <c r="E67" s="677">
        <v>0</v>
      </c>
      <c r="F67" s="676" t="s">
        <v>241</v>
      </c>
    </row>
    <row r="68" spans="1:6" ht="25.5">
      <c r="A68" s="356"/>
      <c r="B68" s="746" t="s">
        <v>240</v>
      </c>
      <c r="C68" s="747"/>
      <c r="D68" s="677">
        <v>1500</v>
      </c>
      <c r="E68" s="677">
        <v>0</v>
      </c>
      <c r="F68" s="676" t="s">
        <v>241</v>
      </c>
    </row>
    <row r="69" spans="1:6" ht="25.5">
      <c r="A69" s="356"/>
      <c r="B69" s="746" t="s">
        <v>240</v>
      </c>
      <c r="C69" s="747"/>
      <c r="D69" s="677">
        <v>3900</v>
      </c>
      <c r="E69" s="677">
        <v>0</v>
      </c>
      <c r="F69" s="676" t="s">
        <v>241</v>
      </c>
    </row>
    <row r="70" spans="1:6" ht="25.5">
      <c r="A70" s="356"/>
      <c r="B70" s="746" t="s">
        <v>240</v>
      </c>
      <c r="C70" s="747"/>
      <c r="D70" s="677">
        <v>1500</v>
      </c>
      <c r="E70" s="677">
        <v>0</v>
      </c>
      <c r="F70" s="676" t="s">
        <v>241</v>
      </c>
    </row>
    <row r="71" spans="1:6" ht="25.5">
      <c r="A71" s="356"/>
      <c r="B71" s="746" t="s">
        <v>240</v>
      </c>
      <c r="C71" s="747"/>
      <c r="D71" s="677">
        <v>2400</v>
      </c>
      <c r="E71" s="677">
        <v>0</v>
      </c>
      <c r="F71" s="676" t="s">
        <v>241</v>
      </c>
    </row>
    <row r="72" spans="1:6" ht="25.5">
      <c r="A72" s="356"/>
      <c r="B72" s="746" t="s">
        <v>240</v>
      </c>
      <c r="C72" s="747"/>
      <c r="D72" s="677">
        <v>1500</v>
      </c>
      <c r="E72" s="677">
        <v>0</v>
      </c>
      <c r="F72" s="676" t="s">
        <v>241</v>
      </c>
    </row>
    <row r="73" spans="1:6" ht="25.5">
      <c r="A73" s="356"/>
      <c r="B73" s="746" t="s">
        <v>240</v>
      </c>
      <c r="C73" s="747"/>
      <c r="D73" s="677">
        <v>1500</v>
      </c>
      <c r="E73" s="677">
        <v>0</v>
      </c>
      <c r="F73" s="676" t="s">
        <v>241</v>
      </c>
    </row>
    <row r="74" spans="1:6" ht="15">
      <c r="A74" s="356"/>
      <c r="B74" s="746" t="s">
        <v>240</v>
      </c>
      <c r="C74" s="747"/>
      <c r="D74" s="677">
        <v>0</v>
      </c>
      <c r="E74" s="677">
        <v>0</v>
      </c>
      <c r="F74" s="676" t="s">
        <v>316</v>
      </c>
    </row>
    <row r="75" spans="1:6" ht="15">
      <c r="A75" s="356"/>
      <c r="B75" s="746" t="s">
        <v>240</v>
      </c>
      <c r="C75" s="747"/>
      <c r="D75" s="677">
        <v>0</v>
      </c>
      <c r="E75" s="677">
        <v>0</v>
      </c>
      <c r="F75" s="676" t="s">
        <v>316</v>
      </c>
    </row>
    <row r="76" spans="1:6" ht="15">
      <c r="A76" s="356"/>
      <c r="B76" s="746" t="s">
        <v>240</v>
      </c>
      <c r="C76" s="747"/>
      <c r="D76" s="677">
        <v>0</v>
      </c>
      <c r="E76" s="677">
        <v>0</v>
      </c>
      <c r="F76" s="676" t="s">
        <v>316</v>
      </c>
    </row>
    <row r="77" spans="1:6" ht="25.5">
      <c r="A77" s="356"/>
      <c r="B77" s="746" t="s">
        <v>240</v>
      </c>
      <c r="C77" s="747"/>
      <c r="D77" s="677">
        <v>1500</v>
      </c>
      <c r="E77" s="677">
        <v>0</v>
      </c>
      <c r="F77" s="676" t="s">
        <v>241</v>
      </c>
    </row>
    <row r="78" spans="1:6" ht="15">
      <c r="A78" s="356"/>
      <c r="B78" s="746" t="s">
        <v>240</v>
      </c>
      <c r="C78" s="747"/>
      <c r="D78" s="677">
        <v>0</v>
      </c>
      <c r="E78" s="677">
        <v>0</v>
      </c>
      <c r="F78" s="676" t="s">
        <v>316</v>
      </c>
    </row>
    <row r="79" spans="1:6" ht="25.5">
      <c r="A79" s="356"/>
      <c r="B79" s="746" t="s">
        <v>240</v>
      </c>
      <c r="C79" s="747"/>
      <c r="D79" s="677">
        <v>10400</v>
      </c>
      <c r="E79" s="677">
        <v>0</v>
      </c>
      <c r="F79" s="676" t="s">
        <v>241</v>
      </c>
    </row>
    <row r="80" spans="1:6" ht="25.5">
      <c r="A80" s="356"/>
      <c r="B80" s="746" t="s">
        <v>240</v>
      </c>
      <c r="C80" s="747"/>
      <c r="D80" s="677">
        <v>6500</v>
      </c>
      <c r="E80" s="677">
        <v>0</v>
      </c>
      <c r="F80" s="676" t="s">
        <v>241</v>
      </c>
    </row>
    <row r="81" spans="1:6" ht="25.5">
      <c r="A81" s="356"/>
      <c r="B81" s="746" t="s">
        <v>240</v>
      </c>
      <c r="C81" s="747"/>
      <c r="D81" s="677">
        <v>14500</v>
      </c>
      <c r="E81" s="677">
        <v>0</v>
      </c>
      <c r="F81" s="676" t="s">
        <v>241</v>
      </c>
    </row>
    <row r="82" spans="1:6" ht="25.5">
      <c r="A82" s="356"/>
      <c r="B82" s="746" t="s">
        <v>240</v>
      </c>
      <c r="C82" s="747"/>
      <c r="D82" s="677">
        <v>2400</v>
      </c>
      <c r="E82" s="677">
        <v>0</v>
      </c>
      <c r="F82" s="676" t="s">
        <v>241</v>
      </c>
    </row>
    <row r="83" spans="1:6" ht="25.5">
      <c r="A83" s="356"/>
      <c r="B83" s="746" t="s">
        <v>240</v>
      </c>
      <c r="C83" s="747"/>
      <c r="D83" s="677">
        <v>1000</v>
      </c>
      <c r="E83" s="677">
        <v>0</v>
      </c>
      <c r="F83" s="676" t="s">
        <v>241</v>
      </c>
    </row>
    <row r="84" spans="1:6" ht="12.75">
      <c r="A84" s="55"/>
      <c r="B84" s="55"/>
      <c r="C84" s="55"/>
      <c r="D84" s="679">
        <f>SUM(D18:D83)</f>
        <v>223800</v>
      </c>
      <c r="E84" s="55"/>
      <c r="F84" s="55"/>
    </row>
    <row r="85" spans="1:6" ht="12.75">
      <c r="A85" s="55"/>
      <c r="B85" s="55"/>
      <c r="C85" s="55"/>
      <c r="D85" s="55"/>
      <c r="E85" s="55"/>
      <c r="F85" s="55"/>
    </row>
    <row r="86" spans="1:6" ht="12.75">
      <c r="A86" s="55"/>
      <c r="B86" s="55"/>
      <c r="C86" s="55"/>
      <c r="D86" s="55"/>
      <c r="E86" s="55"/>
      <c r="F86" s="55"/>
    </row>
    <row r="87" spans="1:6" ht="25.5">
      <c r="A87" s="356"/>
      <c r="B87" s="746" t="s">
        <v>259</v>
      </c>
      <c r="C87" s="747"/>
      <c r="D87" s="677">
        <v>700</v>
      </c>
      <c r="E87" s="677">
        <v>0</v>
      </c>
      <c r="F87" s="676" t="s">
        <v>241</v>
      </c>
    </row>
    <row r="88" spans="1:6" ht="25.5">
      <c r="A88" s="356"/>
      <c r="B88" s="746" t="s">
        <v>333</v>
      </c>
      <c r="C88" s="747"/>
      <c r="D88" s="677">
        <v>2330</v>
      </c>
      <c r="E88" s="677">
        <v>0</v>
      </c>
      <c r="F88" s="676" t="s">
        <v>241</v>
      </c>
    </row>
    <row r="89" spans="1:6" ht="25.5">
      <c r="A89" s="356"/>
      <c r="B89" s="746" t="s">
        <v>333</v>
      </c>
      <c r="C89" s="747"/>
      <c r="D89" s="677">
        <v>8210</v>
      </c>
      <c r="E89" s="677">
        <v>0</v>
      </c>
      <c r="F89" s="676" t="s">
        <v>241</v>
      </c>
    </row>
    <row r="90" spans="1:6" ht="25.5">
      <c r="A90" s="356"/>
      <c r="B90" s="746" t="s">
        <v>259</v>
      </c>
      <c r="C90" s="747"/>
      <c r="D90" s="677">
        <v>60</v>
      </c>
      <c r="E90" s="677">
        <v>0</v>
      </c>
      <c r="F90" s="676" t="s">
        <v>241</v>
      </c>
    </row>
    <row r="91" spans="1:6" ht="15">
      <c r="A91" s="356"/>
      <c r="B91" s="746" t="s">
        <v>259</v>
      </c>
      <c r="C91" s="747"/>
      <c r="D91" s="677">
        <v>0</v>
      </c>
      <c r="E91" s="677">
        <v>0</v>
      </c>
      <c r="F91" s="676" t="s">
        <v>316</v>
      </c>
    </row>
    <row r="92" spans="1:6" ht="25.5">
      <c r="A92" s="356"/>
      <c r="B92" s="746" t="s">
        <v>259</v>
      </c>
      <c r="C92" s="747"/>
      <c r="D92" s="677">
        <v>60</v>
      </c>
      <c r="E92" s="677">
        <v>0</v>
      </c>
      <c r="F92" s="676" t="s">
        <v>241</v>
      </c>
    </row>
    <row r="93" spans="1:6" ht="25.5">
      <c r="A93" s="356"/>
      <c r="B93" s="746" t="s">
        <v>259</v>
      </c>
      <c r="C93" s="747"/>
      <c r="D93" s="677">
        <v>160</v>
      </c>
      <c r="E93" s="677">
        <v>0</v>
      </c>
      <c r="F93" s="676" t="s">
        <v>241</v>
      </c>
    </row>
    <row r="94" spans="1:6" ht="15">
      <c r="A94" s="356"/>
      <c r="B94" s="746" t="s">
        <v>259</v>
      </c>
      <c r="C94" s="747"/>
      <c r="D94" s="677">
        <v>0</v>
      </c>
      <c r="E94" s="677">
        <v>0</v>
      </c>
      <c r="F94" s="676" t="s">
        <v>316</v>
      </c>
    </row>
    <row r="95" spans="1:6" ht="25.5">
      <c r="A95" s="356"/>
      <c r="B95" s="746" t="s">
        <v>259</v>
      </c>
      <c r="C95" s="747"/>
      <c r="D95" s="677">
        <v>60</v>
      </c>
      <c r="E95" s="677">
        <v>0</v>
      </c>
      <c r="F95" s="676" t="s">
        <v>241</v>
      </c>
    </row>
    <row r="96" spans="1:6" ht="25.5">
      <c r="A96" s="356"/>
      <c r="B96" s="746" t="s">
        <v>259</v>
      </c>
      <c r="C96" s="747"/>
      <c r="D96" s="677">
        <v>60</v>
      </c>
      <c r="E96" s="677">
        <v>0</v>
      </c>
      <c r="F96" s="676" t="s">
        <v>241</v>
      </c>
    </row>
    <row r="97" spans="1:6" ht="25.5">
      <c r="A97" s="356"/>
      <c r="B97" s="746" t="s">
        <v>259</v>
      </c>
      <c r="C97" s="747"/>
      <c r="D97" s="677">
        <v>1970</v>
      </c>
      <c r="E97" s="677">
        <v>0</v>
      </c>
      <c r="F97" s="676" t="s">
        <v>241</v>
      </c>
    </row>
    <row r="98" spans="1:6" ht="15">
      <c r="A98" s="356"/>
      <c r="B98" s="746" t="s">
        <v>333</v>
      </c>
      <c r="C98" s="747"/>
      <c r="D98" s="677">
        <v>0</v>
      </c>
      <c r="E98" s="677">
        <v>0</v>
      </c>
      <c r="F98" s="676" t="s">
        <v>316</v>
      </c>
    </row>
    <row r="99" spans="1:6" ht="25.5">
      <c r="A99" s="356"/>
      <c r="B99" s="746" t="s">
        <v>259</v>
      </c>
      <c r="C99" s="747"/>
      <c r="D99" s="677">
        <v>60</v>
      </c>
      <c r="E99" s="677">
        <v>0</v>
      </c>
      <c r="F99" s="676" t="s">
        <v>241</v>
      </c>
    </row>
    <row r="100" spans="1:6" ht="25.5">
      <c r="A100" s="356"/>
      <c r="B100" s="746" t="s">
        <v>333</v>
      </c>
      <c r="C100" s="747"/>
      <c r="D100" s="677">
        <v>12400</v>
      </c>
      <c r="E100" s="677">
        <v>0</v>
      </c>
      <c r="F100" s="676" t="s">
        <v>241</v>
      </c>
    </row>
    <row r="101" spans="1:6" ht="25.5">
      <c r="A101" s="356"/>
      <c r="B101" s="746" t="s">
        <v>259</v>
      </c>
      <c r="C101" s="747"/>
      <c r="D101" s="677">
        <v>60</v>
      </c>
      <c r="E101" s="677">
        <v>0</v>
      </c>
      <c r="F101" s="676" t="s">
        <v>241</v>
      </c>
    </row>
    <row r="102" spans="1:6" ht="25.5">
      <c r="A102" s="356"/>
      <c r="B102" s="746" t="s">
        <v>259</v>
      </c>
      <c r="C102" s="747"/>
      <c r="D102" s="678">
        <v>60</v>
      </c>
      <c r="E102" s="677">
        <v>0</v>
      </c>
      <c r="F102" s="676" t="s">
        <v>241</v>
      </c>
    </row>
    <row r="103" spans="1:6" ht="12.75">
      <c r="A103" s="55"/>
      <c r="B103" s="55"/>
      <c r="C103" s="55"/>
      <c r="D103" s="679">
        <f>SUM(D87:D102)</f>
        <v>26190</v>
      </c>
      <c r="E103" s="55"/>
      <c r="F103" s="55"/>
    </row>
    <row r="104" spans="1:6" ht="12.75">
      <c r="A104" s="55"/>
      <c r="B104" s="55"/>
      <c r="C104" s="55"/>
      <c r="D104" s="55"/>
      <c r="E104" s="55"/>
      <c r="F104" s="55"/>
    </row>
    <row r="105" spans="1:6" ht="25.5">
      <c r="A105" s="356"/>
      <c r="B105" s="746" t="s">
        <v>379</v>
      </c>
      <c r="C105" s="747"/>
      <c r="D105" s="712">
        <v>2182.1</v>
      </c>
      <c r="E105" s="677">
        <v>0</v>
      </c>
      <c r="F105" s="676" t="s">
        <v>241</v>
      </c>
    </row>
    <row r="106" spans="1:6" ht="12.75">
      <c r="A106" s="55"/>
      <c r="B106" s="55"/>
      <c r="C106" s="55"/>
      <c r="D106" s="55"/>
      <c r="E106" s="55"/>
      <c r="F106" s="55"/>
    </row>
    <row r="107" spans="1:6" ht="12.75">
      <c r="A107" s="55"/>
      <c r="B107" s="55"/>
      <c r="C107" s="55"/>
      <c r="D107" s="55"/>
      <c r="E107" s="55"/>
      <c r="F107" s="55"/>
    </row>
    <row r="108" spans="1:6" ht="25.5">
      <c r="A108" s="356"/>
      <c r="B108" s="746" t="s">
        <v>264</v>
      </c>
      <c r="C108" s="747"/>
      <c r="D108" s="677">
        <v>15303.01</v>
      </c>
      <c r="E108" s="677">
        <v>0</v>
      </c>
      <c r="F108" s="676" t="s">
        <v>241</v>
      </c>
    </row>
    <row r="109" spans="1:6" ht="25.5">
      <c r="A109" s="356"/>
      <c r="B109" s="746" t="s">
        <v>262</v>
      </c>
      <c r="C109" s="747"/>
      <c r="D109" s="677">
        <v>24</v>
      </c>
      <c r="E109" s="677">
        <v>0</v>
      </c>
      <c r="F109" s="676" t="s">
        <v>241</v>
      </c>
    </row>
    <row r="110" spans="1:6" ht="25.5">
      <c r="A110" s="356"/>
      <c r="B110" s="746" t="s">
        <v>264</v>
      </c>
      <c r="C110" s="747"/>
      <c r="D110" s="677">
        <v>8149.05</v>
      </c>
      <c r="E110" s="677">
        <v>0</v>
      </c>
      <c r="F110" s="676" t="s">
        <v>241</v>
      </c>
    </row>
    <row r="111" spans="1:6" ht="25.5">
      <c r="A111" s="356"/>
      <c r="B111" s="746" t="s">
        <v>262</v>
      </c>
      <c r="C111" s="747"/>
      <c r="D111" s="677">
        <v>24</v>
      </c>
      <c r="E111" s="677">
        <v>0</v>
      </c>
      <c r="F111" s="676" t="s">
        <v>241</v>
      </c>
    </row>
    <row r="112" spans="1:6" ht="25.5">
      <c r="A112" s="356"/>
      <c r="B112" s="746" t="s">
        <v>264</v>
      </c>
      <c r="C112" s="747"/>
      <c r="D112" s="677">
        <v>12338.08</v>
      </c>
      <c r="E112" s="677">
        <v>0</v>
      </c>
      <c r="F112" s="676" t="s">
        <v>241</v>
      </c>
    </row>
    <row r="113" spans="1:6" ht="25.5">
      <c r="A113" s="356"/>
      <c r="B113" s="746" t="s">
        <v>264</v>
      </c>
      <c r="C113" s="747"/>
      <c r="D113" s="677">
        <v>1314</v>
      </c>
      <c r="E113" s="677">
        <v>0</v>
      </c>
      <c r="F113" s="676" t="s">
        <v>241</v>
      </c>
    </row>
    <row r="114" spans="1:6" ht="25.5">
      <c r="A114" s="356"/>
      <c r="B114" s="746" t="s">
        <v>264</v>
      </c>
      <c r="C114" s="747"/>
      <c r="D114" s="678">
        <v>15734.2</v>
      </c>
      <c r="E114" s="677">
        <v>0</v>
      </c>
      <c r="F114" s="676" t="s">
        <v>241</v>
      </c>
    </row>
    <row r="115" spans="1:6" ht="12.75">
      <c r="A115" s="55"/>
      <c r="B115" s="55"/>
      <c r="C115" s="55"/>
      <c r="D115" s="679">
        <f>SUM(D108:D114)</f>
        <v>52886.34</v>
      </c>
      <c r="E115" s="55"/>
      <c r="F115" s="55"/>
    </row>
    <row r="116" spans="1:6" ht="12.75">
      <c r="A116" s="55"/>
      <c r="B116" s="55"/>
      <c r="C116" s="55"/>
      <c r="D116" s="55"/>
      <c r="E116" s="55"/>
      <c r="F116" s="55"/>
    </row>
    <row r="117" spans="1:6" ht="12.75">
      <c r="A117" s="55"/>
      <c r="B117" s="55"/>
      <c r="C117" s="55"/>
      <c r="D117" s="55"/>
      <c r="E117" s="55"/>
      <c r="F117" s="55"/>
    </row>
    <row r="118" spans="1:6" ht="25.5">
      <c r="A118" s="356"/>
      <c r="B118" s="746" t="s">
        <v>381</v>
      </c>
      <c r="C118" s="747"/>
      <c r="D118" s="678">
        <v>135</v>
      </c>
      <c r="E118" s="677">
        <v>0</v>
      </c>
      <c r="F118" s="676" t="s">
        <v>241</v>
      </c>
    </row>
    <row r="119" spans="1:6" ht="12.75">
      <c r="A119" s="55"/>
      <c r="B119" s="55"/>
      <c r="C119" s="55"/>
      <c r="D119" s="679">
        <f>SUM(D118)</f>
        <v>135</v>
      </c>
      <c r="E119" s="55"/>
      <c r="F119" s="55"/>
    </row>
    <row r="120" spans="1:6" ht="12.75">
      <c r="A120" s="55"/>
      <c r="B120" s="55"/>
      <c r="C120" s="55"/>
      <c r="D120" s="55"/>
      <c r="E120" s="55"/>
      <c r="F120" s="55"/>
    </row>
    <row r="121" spans="1:6" ht="12.75">
      <c r="A121" s="55"/>
      <c r="B121" s="55"/>
      <c r="C121" s="55"/>
      <c r="D121" s="55"/>
      <c r="E121" s="55"/>
      <c r="F121" s="55"/>
    </row>
    <row r="122" spans="1:6" ht="25.5">
      <c r="A122" s="356"/>
      <c r="B122" s="746" t="s">
        <v>268</v>
      </c>
      <c r="C122" s="747"/>
      <c r="D122" s="677">
        <v>182.9</v>
      </c>
      <c r="E122" s="677">
        <v>0</v>
      </c>
      <c r="F122" s="676" t="s">
        <v>241</v>
      </c>
    </row>
    <row r="123" spans="1:6" ht="25.5">
      <c r="A123" s="356"/>
      <c r="B123" s="746" t="s">
        <v>268</v>
      </c>
      <c r="C123" s="747"/>
      <c r="D123" s="677">
        <v>2303.61</v>
      </c>
      <c r="E123" s="677">
        <v>0</v>
      </c>
      <c r="F123" s="676" t="s">
        <v>241</v>
      </c>
    </row>
    <row r="124" spans="1:6" ht="25.5">
      <c r="A124" s="356"/>
      <c r="B124" s="746" t="s">
        <v>268</v>
      </c>
      <c r="C124" s="747"/>
      <c r="D124" s="677">
        <v>408</v>
      </c>
      <c r="E124" s="677">
        <v>0</v>
      </c>
      <c r="F124" s="676" t="s">
        <v>241</v>
      </c>
    </row>
    <row r="125" spans="1:6" ht="25.5">
      <c r="A125" s="356"/>
      <c r="B125" s="746" t="s">
        <v>268</v>
      </c>
      <c r="C125" s="747"/>
      <c r="D125" s="678">
        <v>172.01</v>
      </c>
      <c r="E125" s="677">
        <v>0</v>
      </c>
      <c r="F125" s="676" t="s">
        <v>241</v>
      </c>
    </row>
    <row r="126" spans="1:6" ht="12.75">
      <c r="A126" s="55"/>
      <c r="B126" s="55"/>
      <c r="C126" s="55"/>
      <c r="D126" s="679">
        <f>SUM(D122:D125)</f>
        <v>3066.5200000000004</v>
      </c>
      <c r="E126" s="55"/>
      <c r="F126" s="55"/>
    </row>
    <row r="127" spans="1:6" ht="12.75">
      <c r="A127" s="55"/>
      <c r="B127" s="55"/>
      <c r="C127" s="55"/>
      <c r="D127" s="55"/>
      <c r="E127" s="55"/>
      <c r="F127" s="55"/>
    </row>
    <row r="128" spans="1:6" ht="12.75">
      <c r="A128" s="55"/>
      <c r="B128" s="55"/>
      <c r="C128" s="55"/>
      <c r="D128" s="55"/>
      <c r="E128" s="55"/>
      <c r="F128" s="55"/>
    </row>
    <row r="129" spans="1:6" ht="25.5">
      <c r="A129" s="356"/>
      <c r="B129" s="746" t="s">
        <v>270</v>
      </c>
      <c r="C129" s="747"/>
      <c r="D129" s="677">
        <v>510.76</v>
      </c>
      <c r="E129" s="677">
        <v>0</v>
      </c>
      <c r="F129" s="676" t="s">
        <v>241</v>
      </c>
    </row>
    <row r="130" spans="1:6" ht="25.5">
      <c r="A130" s="356"/>
      <c r="B130" s="746" t="s">
        <v>270</v>
      </c>
      <c r="C130" s="747"/>
      <c r="D130" s="678">
        <v>635</v>
      </c>
      <c r="E130" s="677">
        <v>0</v>
      </c>
      <c r="F130" s="676" t="s">
        <v>241</v>
      </c>
    </row>
    <row r="131" spans="1:6" ht="12.75">
      <c r="A131" s="55"/>
      <c r="B131" s="55"/>
      <c r="C131" s="55"/>
      <c r="D131" s="679">
        <f>SUM(D129:D130)</f>
        <v>1145.76</v>
      </c>
      <c r="E131" s="55"/>
      <c r="F131" s="55"/>
    </row>
    <row r="132" spans="1:6" ht="12.75">
      <c r="A132" s="55"/>
      <c r="B132" s="55"/>
      <c r="C132" s="55"/>
      <c r="D132" s="55"/>
      <c r="E132" s="55"/>
      <c r="F132" s="55"/>
    </row>
    <row r="133" spans="1:6" ht="25.5">
      <c r="A133" s="356"/>
      <c r="B133" s="746" t="s">
        <v>273</v>
      </c>
      <c r="C133" s="747"/>
      <c r="D133" s="677">
        <v>650</v>
      </c>
      <c r="E133" s="677">
        <v>0</v>
      </c>
      <c r="F133" s="676" t="s">
        <v>241</v>
      </c>
    </row>
    <row r="134" spans="1:6" ht="25.5">
      <c r="A134" s="356"/>
      <c r="B134" s="746" t="s">
        <v>273</v>
      </c>
      <c r="C134" s="747"/>
      <c r="D134" s="678">
        <v>485</v>
      </c>
      <c r="E134" s="677">
        <v>0</v>
      </c>
      <c r="F134" s="676" t="s">
        <v>241</v>
      </c>
    </row>
    <row r="135" spans="1:6" ht="12.75">
      <c r="A135" s="55"/>
      <c r="B135" s="55"/>
      <c r="C135" s="55"/>
      <c r="D135" s="679">
        <f>SUM(D133:D134)</f>
        <v>1135</v>
      </c>
      <c r="E135" s="55"/>
      <c r="F135" s="55"/>
    </row>
    <row r="136" spans="1:6" ht="12.75">
      <c r="A136" s="55"/>
      <c r="B136" s="55"/>
      <c r="C136" s="55"/>
      <c r="D136" s="55"/>
      <c r="E136" s="55"/>
      <c r="F136" s="55"/>
    </row>
    <row r="137" spans="1:6" ht="25.5">
      <c r="A137" s="356"/>
      <c r="B137" s="746" t="s">
        <v>275</v>
      </c>
      <c r="C137" s="747"/>
      <c r="D137" s="677">
        <v>1484.39</v>
      </c>
      <c r="E137" s="677">
        <v>0</v>
      </c>
      <c r="F137" s="676" t="s">
        <v>241</v>
      </c>
    </row>
    <row r="138" spans="1:6" ht="25.5">
      <c r="A138" s="356"/>
      <c r="B138" s="746" t="s">
        <v>275</v>
      </c>
      <c r="C138" s="747"/>
      <c r="D138" s="677">
        <v>4629.99</v>
      </c>
      <c r="E138" s="677">
        <v>0</v>
      </c>
      <c r="F138" s="676" t="s">
        <v>241</v>
      </c>
    </row>
    <row r="139" spans="1:6" ht="12.75">
      <c r="A139" s="55"/>
      <c r="B139" s="55"/>
      <c r="C139" s="55"/>
      <c r="D139" s="679">
        <f>SUM(D137:D138)</f>
        <v>6114.38</v>
      </c>
      <c r="E139" s="55"/>
      <c r="F139" s="55"/>
    </row>
    <row r="140" spans="1:6" ht="12.75">
      <c r="A140" s="55"/>
      <c r="B140" s="55"/>
      <c r="C140" s="55"/>
      <c r="D140" s="55"/>
      <c r="E140" s="55"/>
      <c r="F140" s="55"/>
    </row>
    <row r="141" spans="1:6" ht="25.5">
      <c r="A141" s="356"/>
      <c r="B141" s="746" t="s">
        <v>277</v>
      </c>
      <c r="C141" s="747"/>
      <c r="D141" s="677">
        <v>5129.68</v>
      </c>
      <c r="E141" s="677">
        <v>0</v>
      </c>
      <c r="F141" s="676" t="s">
        <v>241</v>
      </c>
    </row>
    <row r="142" spans="1:6" ht="25.5">
      <c r="A142" s="356"/>
      <c r="B142" s="746" t="s">
        <v>383</v>
      </c>
      <c r="C142" s="747"/>
      <c r="D142" s="677">
        <v>600</v>
      </c>
      <c r="E142" s="677">
        <v>0</v>
      </c>
      <c r="F142" s="676" t="s">
        <v>241</v>
      </c>
    </row>
    <row r="143" spans="1:6" ht="25.5">
      <c r="A143" s="356"/>
      <c r="B143" s="746" t="s">
        <v>385</v>
      </c>
      <c r="C143" s="747"/>
      <c r="D143" s="677">
        <v>548.1</v>
      </c>
      <c r="E143" s="677">
        <v>0</v>
      </c>
      <c r="F143" s="676" t="s">
        <v>241</v>
      </c>
    </row>
    <row r="144" spans="1:6" ht="25.5">
      <c r="A144" s="356"/>
      <c r="B144" s="746" t="s">
        <v>383</v>
      </c>
      <c r="C144" s="747"/>
      <c r="D144" s="678">
        <v>11100</v>
      </c>
      <c r="E144" s="677">
        <v>0</v>
      </c>
      <c r="F144" s="676" t="s">
        <v>241</v>
      </c>
    </row>
    <row r="145" spans="1:6" ht="12.75">
      <c r="A145" s="55"/>
      <c r="B145" s="55"/>
      <c r="C145" s="55"/>
      <c r="D145" s="679">
        <f>SUM(D141:D144)</f>
        <v>17377.78</v>
      </c>
      <c r="E145" s="55"/>
      <c r="F145" s="55"/>
    </row>
    <row r="146" spans="1:6" ht="12.75">
      <c r="A146" s="55"/>
      <c r="B146" s="55"/>
      <c r="C146" s="55"/>
      <c r="D146" s="55"/>
      <c r="E146" s="55"/>
      <c r="F146" s="55"/>
    </row>
    <row r="147" spans="1:6" ht="25.5">
      <c r="A147" s="356"/>
      <c r="B147" s="746" t="s">
        <v>287</v>
      </c>
      <c r="C147" s="747"/>
      <c r="D147" s="677">
        <v>120</v>
      </c>
      <c r="E147" s="677">
        <v>0</v>
      </c>
      <c r="F147" s="676" t="s">
        <v>241</v>
      </c>
    </row>
    <row r="148" spans="1:6" ht="25.5">
      <c r="A148" s="356"/>
      <c r="B148" s="746" t="s">
        <v>279</v>
      </c>
      <c r="C148" s="747"/>
      <c r="D148" s="677">
        <v>895.5</v>
      </c>
      <c r="E148" s="677">
        <v>0</v>
      </c>
      <c r="F148" s="676" t="s">
        <v>241</v>
      </c>
    </row>
    <row r="149" spans="1:6" ht="25.5">
      <c r="A149" s="356"/>
      <c r="B149" s="746" t="s">
        <v>283</v>
      </c>
      <c r="C149" s="747"/>
      <c r="D149" s="677">
        <v>179.99</v>
      </c>
      <c r="E149" s="677">
        <v>0</v>
      </c>
      <c r="F149" s="676" t="s">
        <v>241</v>
      </c>
    </row>
    <row r="150" spans="1:6" ht="25.5">
      <c r="A150" s="356"/>
      <c r="B150" s="746" t="s">
        <v>279</v>
      </c>
      <c r="C150" s="747"/>
      <c r="D150" s="677">
        <v>4793.95</v>
      </c>
      <c r="E150" s="677">
        <v>0</v>
      </c>
      <c r="F150" s="676" t="s">
        <v>241</v>
      </c>
    </row>
    <row r="151" spans="1:6" ht="25.5">
      <c r="A151" s="356"/>
      <c r="B151" s="746" t="s">
        <v>281</v>
      </c>
      <c r="C151" s="747"/>
      <c r="D151" s="677">
        <v>165.25</v>
      </c>
      <c r="E151" s="677">
        <v>0</v>
      </c>
      <c r="F151" s="676" t="s">
        <v>241</v>
      </c>
    </row>
    <row r="152" spans="1:6" ht="25.5">
      <c r="A152" s="356"/>
      <c r="B152" s="746" t="s">
        <v>281</v>
      </c>
      <c r="C152" s="747"/>
      <c r="D152" s="677">
        <v>2592.61</v>
      </c>
      <c r="E152" s="677">
        <v>0</v>
      </c>
      <c r="F152" s="676" t="s">
        <v>241</v>
      </c>
    </row>
    <row r="153" spans="1:6" ht="25.5">
      <c r="A153" s="356"/>
      <c r="B153" s="746" t="s">
        <v>285</v>
      </c>
      <c r="C153" s="747"/>
      <c r="D153" s="677">
        <v>6100</v>
      </c>
      <c r="E153" s="677">
        <v>0</v>
      </c>
      <c r="F153" s="676" t="s">
        <v>241</v>
      </c>
    </row>
    <row r="154" spans="1:6" ht="25.5">
      <c r="A154" s="356"/>
      <c r="B154" s="746" t="s">
        <v>279</v>
      </c>
      <c r="C154" s="747"/>
      <c r="D154" s="677">
        <v>2575</v>
      </c>
      <c r="E154" s="677">
        <v>0</v>
      </c>
      <c r="F154" s="676" t="s">
        <v>241</v>
      </c>
    </row>
    <row r="155" spans="1:6" ht="25.5">
      <c r="A155" s="356"/>
      <c r="B155" s="746" t="s">
        <v>279</v>
      </c>
      <c r="C155" s="747"/>
      <c r="D155" s="677">
        <v>909.95</v>
      </c>
      <c r="E155" s="677">
        <v>0</v>
      </c>
      <c r="F155" s="676" t="s">
        <v>241</v>
      </c>
    </row>
    <row r="156" spans="1:6" ht="25.5">
      <c r="A156" s="356"/>
      <c r="B156" s="746" t="s">
        <v>287</v>
      </c>
      <c r="C156" s="747"/>
      <c r="D156" s="677">
        <v>80</v>
      </c>
      <c r="E156" s="677">
        <v>0</v>
      </c>
      <c r="F156" s="676" t="s">
        <v>241</v>
      </c>
    </row>
    <row r="157" spans="1:6" ht="25.5">
      <c r="A157" s="356"/>
      <c r="B157" s="746" t="s">
        <v>279</v>
      </c>
      <c r="C157" s="747"/>
      <c r="D157" s="677">
        <v>2428</v>
      </c>
      <c r="E157" s="677">
        <v>0</v>
      </c>
      <c r="F157" s="676" t="s">
        <v>241</v>
      </c>
    </row>
    <row r="158" spans="1:6" ht="25.5">
      <c r="A158" s="356"/>
      <c r="B158" s="746" t="s">
        <v>285</v>
      </c>
      <c r="C158" s="747"/>
      <c r="D158" s="677">
        <v>4402.56</v>
      </c>
      <c r="E158" s="677">
        <v>0</v>
      </c>
      <c r="F158" s="676" t="s">
        <v>241</v>
      </c>
    </row>
    <row r="159" spans="1:6" ht="25.5">
      <c r="A159" s="356"/>
      <c r="B159" s="746" t="s">
        <v>281</v>
      </c>
      <c r="C159" s="747"/>
      <c r="D159" s="677">
        <v>177</v>
      </c>
      <c r="E159" s="677">
        <v>0</v>
      </c>
      <c r="F159" s="676" t="s">
        <v>241</v>
      </c>
    </row>
    <row r="160" spans="1:6" ht="25.5">
      <c r="A160" s="356"/>
      <c r="B160" s="746" t="s">
        <v>279</v>
      </c>
      <c r="C160" s="747"/>
      <c r="D160" s="678">
        <v>669</v>
      </c>
      <c r="E160" s="677">
        <v>0</v>
      </c>
      <c r="F160" s="676" t="s">
        <v>241</v>
      </c>
    </row>
    <row r="161" spans="1:6" ht="12.75">
      <c r="A161" s="55"/>
      <c r="B161" s="55"/>
      <c r="C161" s="55"/>
      <c r="D161" s="679">
        <f>SUM(D147:D160)</f>
        <v>26088.81</v>
      </c>
      <c r="E161" s="55"/>
      <c r="F161" s="55"/>
    </row>
    <row r="164" spans="1:4" ht="12.75">
      <c r="A164" s="114"/>
      <c r="B164" s="114"/>
      <c r="C164" s="114"/>
      <c r="D164" s="114"/>
    </row>
    <row r="165" spans="1:4" ht="12.75">
      <c r="A165" s="114"/>
      <c r="B165" s="114"/>
      <c r="C165" s="114"/>
      <c r="D165" s="114"/>
    </row>
    <row r="166" spans="1:4" ht="12.75">
      <c r="A166" s="114"/>
      <c r="B166" s="114"/>
      <c r="C166" s="114"/>
      <c r="D166" s="114"/>
    </row>
    <row r="167" spans="1:4" ht="12.75">
      <c r="A167" s="114"/>
      <c r="B167" s="114"/>
      <c r="C167" s="114"/>
      <c r="D167" s="114"/>
    </row>
    <row r="168" spans="1:4" ht="12.75">
      <c r="A168" s="114"/>
      <c r="B168" s="114"/>
      <c r="C168" s="114"/>
      <c r="D168" s="114"/>
    </row>
    <row r="169" spans="1:4" ht="12.75">
      <c r="A169" s="114"/>
      <c r="B169" s="114"/>
      <c r="C169" s="114"/>
      <c r="D169" s="114"/>
    </row>
    <row r="170" spans="1:4" ht="12.75">
      <c r="A170" s="114"/>
      <c r="B170" s="114"/>
      <c r="C170" s="114"/>
      <c r="D170" s="114"/>
    </row>
    <row r="171" spans="1:4" ht="12.75">
      <c r="A171" s="114"/>
      <c r="B171" s="114"/>
      <c r="C171" s="114"/>
      <c r="D171" s="114"/>
    </row>
    <row r="172" spans="1:4" ht="12.75">
      <c r="A172" s="114"/>
      <c r="B172" s="114"/>
      <c r="C172" s="114"/>
      <c r="D172" s="114"/>
    </row>
    <row r="173" spans="1:4" ht="12.75">
      <c r="A173" s="114"/>
      <c r="B173" s="114"/>
      <c r="C173" s="114"/>
      <c r="D173" s="114"/>
    </row>
    <row r="174" spans="1:4" ht="12.75">
      <c r="A174" s="114"/>
      <c r="B174" s="114"/>
      <c r="C174" s="114"/>
      <c r="D174" s="114"/>
    </row>
    <row r="175" spans="1:4" ht="12.75">
      <c r="A175" s="114"/>
      <c r="B175" s="114"/>
      <c r="C175" s="114"/>
      <c r="D175" s="114"/>
    </row>
    <row r="176" spans="1:4" ht="12.75">
      <c r="A176" s="114"/>
      <c r="B176" s="114"/>
      <c r="C176" s="114"/>
      <c r="D176" s="114"/>
    </row>
    <row r="177" spans="1:4" ht="12.75">
      <c r="A177" s="114"/>
      <c r="B177" s="114"/>
      <c r="C177" s="114"/>
      <c r="D177" s="114"/>
    </row>
    <row r="178" spans="1:4" ht="12.75">
      <c r="A178" s="114"/>
      <c r="B178" s="114"/>
      <c r="C178" s="114"/>
      <c r="D178" s="114"/>
    </row>
    <row r="179" spans="7:15" ht="51">
      <c r="G179" s="349" t="s">
        <v>540</v>
      </c>
      <c r="K179" s="432" t="s">
        <v>619</v>
      </c>
      <c r="O179" s="433" t="s">
        <v>586</v>
      </c>
    </row>
    <row r="180" spans="5:15" ht="12.75">
      <c r="E180" s="349" t="s">
        <v>519</v>
      </c>
      <c r="G180" s="1" t="s">
        <v>541</v>
      </c>
      <c r="H180" s="1"/>
      <c r="K180" s="349" t="s">
        <v>601</v>
      </c>
      <c r="O180" s="349"/>
    </row>
    <row r="181" spans="3:13" ht="12.75">
      <c r="C181" s="354" t="s">
        <v>491</v>
      </c>
      <c r="D181" s="354"/>
      <c r="E181" s="354" t="s">
        <v>491</v>
      </c>
      <c r="F181" s="354"/>
      <c r="K181" s="416">
        <v>2928</v>
      </c>
      <c r="L181" s="453">
        <v>1500</v>
      </c>
      <c r="M181" s="454">
        <v>231</v>
      </c>
    </row>
    <row r="182" spans="1:17" ht="15">
      <c r="A182" s="351"/>
      <c r="B182" s="351"/>
      <c r="C182" s="345">
        <v>2834</v>
      </c>
      <c r="D182" s="7">
        <v>1560</v>
      </c>
      <c r="E182">
        <v>2875</v>
      </c>
      <c r="F182" s="7">
        <v>17823.62</v>
      </c>
      <c r="G182" s="416">
        <v>2880</v>
      </c>
      <c r="H182" s="119">
        <v>3900</v>
      </c>
      <c r="I182">
        <v>231</v>
      </c>
      <c r="K182" s="416">
        <v>2929</v>
      </c>
      <c r="L182" s="453">
        <v>1500</v>
      </c>
      <c r="M182" s="454">
        <v>231</v>
      </c>
      <c r="O182" s="431">
        <v>2900</v>
      </c>
      <c r="P182" s="7">
        <v>870</v>
      </c>
      <c r="Q182" s="417" t="s">
        <v>312</v>
      </c>
    </row>
    <row r="183" spans="1:17" ht="15">
      <c r="A183" s="351"/>
      <c r="B183" s="351"/>
      <c r="C183" s="345">
        <v>2861</v>
      </c>
      <c r="D183" s="346">
        <v>1500</v>
      </c>
      <c r="E183">
        <v>2878</v>
      </c>
      <c r="F183" s="7">
        <v>18903.87</v>
      </c>
      <c r="G183" s="416">
        <v>2890</v>
      </c>
      <c r="H183" s="119">
        <v>15800</v>
      </c>
      <c r="I183">
        <v>241</v>
      </c>
      <c r="K183" s="416">
        <v>2931</v>
      </c>
      <c r="L183" s="453">
        <v>1800</v>
      </c>
      <c r="M183" s="454">
        <v>231</v>
      </c>
      <c r="O183">
        <v>2901</v>
      </c>
      <c r="P183" s="7">
        <v>29570</v>
      </c>
      <c r="Q183" s="417">
        <v>231</v>
      </c>
    </row>
    <row r="184" spans="1:17" ht="15">
      <c r="A184" s="345"/>
      <c r="B184" s="345"/>
      <c r="C184" s="345">
        <v>2854</v>
      </c>
      <c r="D184" s="346">
        <v>1800</v>
      </c>
      <c r="E184">
        <v>2879</v>
      </c>
      <c r="F184" s="398">
        <v>16958.52</v>
      </c>
      <c r="G184" s="416">
        <v>2893</v>
      </c>
      <c r="H184" s="119">
        <v>1800</v>
      </c>
      <c r="I184">
        <v>231</v>
      </c>
      <c r="K184" s="416">
        <v>2932</v>
      </c>
      <c r="L184" s="453">
        <v>1500</v>
      </c>
      <c r="M184" s="454">
        <v>231</v>
      </c>
      <c r="O184">
        <v>2904</v>
      </c>
      <c r="P184" s="7">
        <v>3500</v>
      </c>
      <c r="Q184" s="417">
        <v>231</v>
      </c>
    </row>
    <row r="185" spans="1:17" ht="15">
      <c r="A185" s="345"/>
      <c r="B185" s="353"/>
      <c r="C185" s="345">
        <v>2863</v>
      </c>
      <c r="D185" s="346">
        <v>10000</v>
      </c>
      <c r="E185">
        <v>2882</v>
      </c>
      <c r="F185" s="398">
        <v>2400</v>
      </c>
      <c r="G185" s="416">
        <v>2894</v>
      </c>
      <c r="H185" s="119">
        <v>1800</v>
      </c>
      <c r="I185">
        <v>231</v>
      </c>
      <c r="K185" s="416">
        <v>2933</v>
      </c>
      <c r="L185" s="453">
        <v>11096</v>
      </c>
      <c r="M185" s="416" t="s">
        <v>382</v>
      </c>
      <c r="O185">
        <v>2905</v>
      </c>
      <c r="P185" s="7">
        <v>3500</v>
      </c>
      <c r="Q185" s="417">
        <v>231</v>
      </c>
    </row>
    <row r="186" spans="1:17" ht="15">
      <c r="A186" s="345"/>
      <c r="B186" s="353"/>
      <c r="C186" s="345">
        <v>2866</v>
      </c>
      <c r="D186" s="346">
        <v>1560</v>
      </c>
      <c r="E186">
        <v>2884</v>
      </c>
      <c r="F186" s="398">
        <v>2400</v>
      </c>
      <c r="G186" s="416">
        <v>2895</v>
      </c>
      <c r="H186" s="119">
        <v>1500</v>
      </c>
      <c r="I186">
        <v>231</v>
      </c>
      <c r="K186" s="416">
        <v>2934</v>
      </c>
      <c r="L186" s="453">
        <v>7007.07</v>
      </c>
      <c r="M186" s="416" t="s">
        <v>587</v>
      </c>
      <c r="O186">
        <v>2910</v>
      </c>
      <c r="P186" s="7">
        <v>61.55</v>
      </c>
      <c r="Q186" s="417">
        <v>261</v>
      </c>
    </row>
    <row r="187" spans="1:17" ht="15">
      <c r="A187" s="345"/>
      <c r="B187" s="353"/>
      <c r="C187" s="345">
        <v>2865</v>
      </c>
      <c r="D187" s="346">
        <v>1800</v>
      </c>
      <c r="E187">
        <v>2881</v>
      </c>
      <c r="F187" s="294">
        <v>1500</v>
      </c>
      <c r="G187" s="416">
        <v>2898</v>
      </c>
      <c r="H187" s="119">
        <v>13413.26</v>
      </c>
      <c r="I187">
        <v>272</v>
      </c>
      <c r="K187" s="416">
        <v>2935</v>
      </c>
      <c r="L187" s="453">
        <v>1595.97</v>
      </c>
      <c r="M187" s="454">
        <v>215</v>
      </c>
      <c r="O187">
        <v>2910</v>
      </c>
      <c r="P187" s="7">
        <v>4231</v>
      </c>
      <c r="Q187" t="s">
        <v>492</v>
      </c>
    </row>
    <row r="188" spans="1:17" ht="15">
      <c r="A188" s="345"/>
      <c r="B188" s="353"/>
      <c r="C188" s="345">
        <v>2864</v>
      </c>
      <c r="D188" s="346">
        <v>1800</v>
      </c>
      <c r="E188">
        <v>2883</v>
      </c>
      <c r="F188" s="294">
        <v>1500</v>
      </c>
      <c r="G188" s="416">
        <v>2899</v>
      </c>
      <c r="H188" s="119">
        <v>4791.27</v>
      </c>
      <c r="I188">
        <v>215</v>
      </c>
      <c r="K188" s="455">
        <v>2936</v>
      </c>
      <c r="L188" s="456">
        <v>15233.3</v>
      </c>
      <c r="M188" s="416" t="s">
        <v>263</v>
      </c>
      <c r="N188" s="118"/>
      <c r="O188">
        <v>2910</v>
      </c>
      <c r="P188" s="7">
        <v>1250.8</v>
      </c>
      <c r="Q188" s="417">
        <v>332</v>
      </c>
    </row>
    <row r="189" spans="1:17" ht="15">
      <c r="A189" s="345"/>
      <c r="B189" s="353"/>
      <c r="C189" s="345">
        <v>2869</v>
      </c>
      <c r="D189" s="346">
        <v>6750</v>
      </c>
      <c r="E189">
        <v>2887</v>
      </c>
      <c r="F189" s="294">
        <v>1500</v>
      </c>
      <c r="H189" s="119">
        <f>20.12+2652.7+3.98+120+7.19</f>
        <v>2803.99</v>
      </c>
      <c r="I189">
        <v>282</v>
      </c>
      <c r="J189" s="349" t="s">
        <v>542</v>
      </c>
      <c r="K189" s="455">
        <v>2936</v>
      </c>
      <c r="L189" s="456">
        <v>1134.42</v>
      </c>
      <c r="M189" s="457">
        <v>341</v>
      </c>
      <c r="O189">
        <v>2910</v>
      </c>
      <c r="P189" s="7">
        <v>390</v>
      </c>
      <c r="Q189" s="417">
        <v>353</v>
      </c>
    </row>
    <row r="190" spans="1:17" ht="15">
      <c r="A190" s="345"/>
      <c r="B190" s="353"/>
      <c r="C190" s="345">
        <v>2855</v>
      </c>
      <c r="D190" s="346">
        <v>1800</v>
      </c>
      <c r="E190">
        <v>2886</v>
      </c>
      <c r="F190" s="294">
        <v>1500</v>
      </c>
      <c r="G190" s="349"/>
      <c r="H190" s="7"/>
      <c r="K190" s="455">
        <v>2936</v>
      </c>
      <c r="L190" s="456">
        <v>375</v>
      </c>
      <c r="M190" s="457">
        <v>355</v>
      </c>
      <c r="O190">
        <v>2910</v>
      </c>
      <c r="P190" s="7">
        <v>2800</v>
      </c>
      <c r="Q190" s="417">
        <v>355</v>
      </c>
    </row>
    <row r="191" spans="1:17" ht="15.75" thickBot="1">
      <c r="A191" s="345"/>
      <c r="B191" s="353"/>
      <c r="C191" s="345">
        <v>2870</v>
      </c>
      <c r="D191" s="346">
        <v>18580</v>
      </c>
      <c r="E191">
        <v>2885</v>
      </c>
      <c r="F191" s="294">
        <v>1500</v>
      </c>
      <c r="H191" s="13">
        <f>SUM(H182:H190)</f>
        <v>45808.52</v>
      </c>
      <c r="K191" s="455">
        <v>2936</v>
      </c>
      <c r="L191" s="456">
        <v>720</v>
      </c>
      <c r="M191" s="457">
        <v>399</v>
      </c>
      <c r="O191">
        <v>2910</v>
      </c>
      <c r="P191" s="7">
        <v>1170</v>
      </c>
      <c r="Q191" t="s">
        <v>274</v>
      </c>
    </row>
    <row r="192" spans="1:17" ht="15.75" thickBot="1">
      <c r="A192" s="345"/>
      <c r="B192" s="353"/>
      <c r="C192" s="345">
        <v>2871</v>
      </c>
      <c r="D192" s="346">
        <v>622.71</v>
      </c>
      <c r="E192">
        <v>2888</v>
      </c>
      <c r="F192" s="294">
        <v>1500</v>
      </c>
      <c r="H192" s="403">
        <v>673.16</v>
      </c>
      <c r="I192" s="404" t="s">
        <v>521</v>
      </c>
      <c r="J192" s="116"/>
      <c r="K192" s="455">
        <v>2936</v>
      </c>
      <c r="L192" s="456">
        <v>500</v>
      </c>
      <c r="M192" s="458">
        <v>242</v>
      </c>
      <c r="O192">
        <v>2910</v>
      </c>
      <c r="P192" s="7">
        <v>44.39</v>
      </c>
      <c r="Q192" t="s">
        <v>569</v>
      </c>
    </row>
    <row r="193" spans="1:17" ht="15">
      <c r="A193" s="345"/>
      <c r="B193" s="353"/>
      <c r="C193" s="345">
        <v>2874</v>
      </c>
      <c r="D193" s="346">
        <v>1560</v>
      </c>
      <c r="E193">
        <v>2889</v>
      </c>
      <c r="F193" s="294">
        <v>18722.4</v>
      </c>
      <c r="H193" s="13">
        <f>SUM(H191:H192)</f>
        <v>46481.68</v>
      </c>
      <c r="K193" s="455">
        <v>2936</v>
      </c>
      <c r="L193" s="456">
        <v>50</v>
      </c>
      <c r="M193" s="416" t="s">
        <v>602</v>
      </c>
      <c r="N193" s="435"/>
      <c r="O193">
        <v>2910</v>
      </c>
      <c r="P193" s="7">
        <v>3391.4</v>
      </c>
      <c r="Q193" t="s">
        <v>384</v>
      </c>
    </row>
    <row r="194" spans="1:17" ht="15">
      <c r="A194" s="345"/>
      <c r="B194" s="353"/>
      <c r="C194" s="345">
        <v>2873</v>
      </c>
      <c r="D194" s="346">
        <v>1800</v>
      </c>
      <c r="E194">
        <v>2897</v>
      </c>
      <c r="F194" s="294">
        <v>11000</v>
      </c>
      <c r="K194" s="416">
        <v>2941</v>
      </c>
      <c r="L194" s="119">
        <v>1060</v>
      </c>
      <c r="M194" s="454">
        <v>231</v>
      </c>
      <c r="O194">
        <v>2910</v>
      </c>
      <c r="P194" s="7">
        <v>435.01</v>
      </c>
      <c r="Q194" t="s">
        <v>573</v>
      </c>
    </row>
    <row r="195" spans="1:17" ht="15">
      <c r="A195" s="345"/>
      <c r="B195" s="353"/>
      <c r="C195" s="345">
        <v>2877</v>
      </c>
      <c r="D195" s="346">
        <v>33500</v>
      </c>
      <c r="E195">
        <v>2892</v>
      </c>
      <c r="F195" s="294">
        <v>19000</v>
      </c>
      <c r="K195" s="416">
        <v>2943</v>
      </c>
      <c r="L195" s="119">
        <v>1000</v>
      </c>
      <c r="M195" s="454">
        <v>231</v>
      </c>
      <c r="N195" s="115"/>
      <c r="O195">
        <v>2910</v>
      </c>
      <c r="P195" s="7">
        <v>4654.22</v>
      </c>
      <c r="Q195" s="417">
        <v>396</v>
      </c>
    </row>
    <row r="196" spans="1:17" ht="15">
      <c r="A196" s="345"/>
      <c r="B196" s="353"/>
      <c r="C196" s="345">
        <v>2876</v>
      </c>
      <c r="D196" s="346">
        <v>2700</v>
      </c>
      <c r="E196">
        <v>2896</v>
      </c>
      <c r="F196" s="294">
        <v>18419.32</v>
      </c>
      <c r="K196" s="416">
        <v>2945</v>
      </c>
      <c r="L196" s="453">
        <v>1000</v>
      </c>
      <c r="M196" s="454">
        <v>231</v>
      </c>
      <c r="N196" s="114"/>
      <c r="O196">
        <v>2910</v>
      </c>
      <c r="P196" s="7">
        <v>182.3</v>
      </c>
      <c r="Q196" s="417">
        <v>398</v>
      </c>
    </row>
    <row r="197" spans="1:17" ht="17.25">
      <c r="A197" s="345"/>
      <c r="B197" s="353"/>
      <c r="D197" s="347">
        <f>SUM(D182:D196)</f>
        <v>87332.70999999999</v>
      </c>
      <c r="E197">
        <v>2891</v>
      </c>
      <c r="F197" s="399">
        <v>4000</v>
      </c>
      <c r="K197" s="416">
        <v>2952</v>
      </c>
      <c r="L197" s="453">
        <v>1600</v>
      </c>
      <c r="M197" s="454">
        <v>231</v>
      </c>
      <c r="O197">
        <v>2911</v>
      </c>
      <c r="P197" s="7">
        <v>1000</v>
      </c>
      <c r="Q197" s="417">
        <v>213</v>
      </c>
    </row>
    <row r="198" spans="1:17" ht="15">
      <c r="A198" s="345"/>
      <c r="B198" s="353"/>
      <c r="D198" s="347">
        <v>2526.5</v>
      </c>
      <c r="F198" s="400">
        <f>SUM(F182:F197)</f>
        <v>138627.73</v>
      </c>
      <c r="K198" s="416">
        <v>2953</v>
      </c>
      <c r="L198" s="453">
        <v>1060</v>
      </c>
      <c r="M198" s="454">
        <v>231</v>
      </c>
      <c r="O198">
        <v>2911</v>
      </c>
      <c r="P198" s="7">
        <v>750</v>
      </c>
      <c r="Q198" t="s">
        <v>492</v>
      </c>
    </row>
    <row r="199" spans="1:17" ht="15.75" thickBot="1">
      <c r="A199" s="345"/>
      <c r="B199" s="353"/>
      <c r="D199" s="347">
        <f>D197+D198</f>
        <v>89859.20999999999</v>
      </c>
      <c r="E199" s="1" t="s">
        <v>520</v>
      </c>
      <c r="F199" s="1">
        <f>28.36+25.44+26.55+295+28.08+16.5+28.5+64.98</f>
        <v>513.41</v>
      </c>
      <c r="K199" s="416">
        <v>2954</v>
      </c>
      <c r="L199" s="453">
        <v>1200</v>
      </c>
      <c r="M199" s="454">
        <v>231</v>
      </c>
      <c r="O199">
        <v>2911</v>
      </c>
      <c r="P199" s="7">
        <v>13429.35</v>
      </c>
      <c r="Q199" t="s">
        <v>263</v>
      </c>
    </row>
    <row r="200" spans="1:17" ht="15.75" thickBot="1">
      <c r="A200" s="345"/>
      <c r="B200" s="353"/>
      <c r="D200" s="402">
        <v>90314.45</v>
      </c>
      <c r="E200" s="112"/>
      <c r="F200" s="401">
        <f>SUM(F198:F199)</f>
        <v>139141.14</v>
      </c>
      <c r="K200" s="349">
        <v>2955</v>
      </c>
      <c r="L200" s="435">
        <v>0</v>
      </c>
      <c r="M200" s="450"/>
      <c r="N200" s="13"/>
      <c r="O200">
        <v>2911</v>
      </c>
      <c r="P200" s="7">
        <v>203.95</v>
      </c>
      <c r="Q200" s="417">
        <v>332</v>
      </c>
    </row>
    <row r="201" spans="1:17" ht="15">
      <c r="A201" s="345"/>
      <c r="B201" s="353"/>
      <c r="D201" s="348">
        <f>D200-D199</f>
        <v>455.24000000000524</v>
      </c>
      <c r="E201" s="118" t="e">
        <f>#REF!-F198</f>
        <v>#REF!</v>
      </c>
      <c r="K201" s="416">
        <v>2956</v>
      </c>
      <c r="L201" s="453">
        <v>1200</v>
      </c>
      <c r="M201" s="459">
        <v>231</v>
      </c>
      <c r="O201">
        <v>2911</v>
      </c>
      <c r="P201" s="7">
        <v>342.24</v>
      </c>
      <c r="Q201" s="417">
        <v>341</v>
      </c>
    </row>
    <row r="202" spans="1:17" ht="15">
      <c r="A202" s="345"/>
      <c r="B202" s="353"/>
      <c r="D202" s="347">
        <f>D199*0.15%</f>
        <v>134.788815</v>
      </c>
      <c r="K202" s="416">
        <v>2957</v>
      </c>
      <c r="L202" s="453">
        <v>1200</v>
      </c>
      <c r="M202" s="459">
        <v>231</v>
      </c>
      <c r="O202">
        <v>2911</v>
      </c>
      <c r="P202" s="7">
        <v>1166</v>
      </c>
      <c r="Q202" s="417">
        <v>355</v>
      </c>
    </row>
    <row r="203" spans="1:17" ht="15">
      <c r="A203" s="345"/>
      <c r="B203" s="353"/>
      <c r="D203" s="347">
        <v>175</v>
      </c>
      <c r="L203" s="7">
        <f>53331.76*0.0015</f>
        <v>79.99764</v>
      </c>
      <c r="M203" s="451" t="s">
        <v>520</v>
      </c>
      <c r="O203">
        <v>2911</v>
      </c>
      <c r="P203" s="7">
        <v>500</v>
      </c>
      <c r="Q203" s="417" t="s">
        <v>571</v>
      </c>
    </row>
    <row r="204" spans="1:17" ht="15">
      <c r="A204" s="345"/>
      <c r="B204" s="353"/>
      <c r="D204" s="347">
        <v>120</v>
      </c>
      <c r="K204" s="449"/>
      <c r="L204" s="400">
        <f>SUM(L181:L203)</f>
        <v>53411.757639999996</v>
      </c>
      <c r="M204" s="451"/>
      <c r="O204">
        <v>2911</v>
      </c>
      <c r="P204" s="7">
        <v>663.9</v>
      </c>
      <c r="Q204" s="417">
        <v>399</v>
      </c>
    </row>
    <row r="205" spans="1:17" ht="16.5">
      <c r="A205" s="345"/>
      <c r="B205" s="353"/>
      <c r="D205" s="13">
        <f>SUM(D182:D204)</f>
        <v>358250.608815</v>
      </c>
      <c r="L205" s="7">
        <v>2490</v>
      </c>
      <c r="M205" s="13">
        <f>SUM(L204:L205)</f>
        <v>55901.757639999996</v>
      </c>
      <c r="O205">
        <v>2912</v>
      </c>
      <c r="P205" s="418">
        <v>1585.9</v>
      </c>
      <c r="Q205" s="417">
        <v>215</v>
      </c>
    </row>
    <row r="206" spans="1:16" ht="15">
      <c r="A206" s="345"/>
      <c r="B206" s="353"/>
      <c r="P206" s="400">
        <f>SUM(P182:P205)</f>
        <v>75692.01000000001</v>
      </c>
    </row>
    <row r="207" spans="1:16" ht="12.75">
      <c r="A207" s="55"/>
      <c r="P207" s="7">
        <f>1.31+13.65+5.25+5.25+8.4+44.36+27.92+27.08+1524.65+2.29+17+120+120</f>
        <v>1917.16</v>
      </c>
    </row>
    <row r="208" spans="12:16" ht="12.75">
      <c r="L208" s="743" t="s">
        <v>603</v>
      </c>
      <c r="M208" s="743"/>
      <c r="P208" s="13">
        <f>SUM(P206:P207)</f>
        <v>77609.17000000001</v>
      </c>
    </row>
    <row r="209" spans="12:16" ht="12.75">
      <c r="L209" s="118">
        <f>L181+L182+L183+L184+L194+L195+L196+L197+L198+L199+L201+L202</f>
        <v>15620</v>
      </c>
      <c r="M209" s="417">
        <v>231</v>
      </c>
      <c r="P209" s="118">
        <f>P208-76181.27</f>
        <v>1427.9000000000087</v>
      </c>
    </row>
    <row r="210" spans="12:15" ht="12.75">
      <c r="L210" s="13">
        <f aca="true" t="shared" si="0" ref="L210:L217">L185</f>
        <v>11096</v>
      </c>
      <c r="M210" s="434" t="s">
        <v>382</v>
      </c>
      <c r="O210" s="13"/>
    </row>
    <row r="211" spans="4:13" ht="25.5">
      <c r="D211" s="432" t="s">
        <v>639</v>
      </c>
      <c r="L211" s="13">
        <f t="shared" si="0"/>
        <v>7007.07</v>
      </c>
      <c r="M211" s="434" t="s">
        <v>587</v>
      </c>
    </row>
    <row r="212" spans="4:13" ht="12.75">
      <c r="D212" s="460" t="s">
        <v>666</v>
      </c>
      <c r="L212" s="13">
        <f t="shared" si="0"/>
        <v>1595.97</v>
      </c>
      <c r="M212" s="417">
        <v>215</v>
      </c>
    </row>
    <row r="213" spans="12:13" ht="13.5" thickBot="1">
      <c r="L213" s="13">
        <f t="shared" si="0"/>
        <v>15233.3</v>
      </c>
      <c r="M213" s="434" t="s">
        <v>263</v>
      </c>
    </row>
    <row r="214" spans="4:13" ht="13.5" thickBot="1">
      <c r="D214" s="461" t="s">
        <v>620</v>
      </c>
      <c r="E214" s="441" t="s">
        <v>621</v>
      </c>
      <c r="F214" s="441" t="s">
        <v>402</v>
      </c>
      <c r="G214" s="462" t="s">
        <v>399</v>
      </c>
      <c r="L214" s="13">
        <f t="shared" si="0"/>
        <v>1134.42</v>
      </c>
      <c r="M214" s="417">
        <v>341</v>
      </c>
    </row>
    <row r="215" spans="4:13" ht="12.75">
      <c r="D215">
        <v>2872</v>
      </c>
      <c r="E215" s="7">
        <v>1800</v>
      </c>
      <c r="F215">
        <v>231</v>
      </c>
      <c r="G215">
        <v>110.87</v>
      </c>
      <c r="L215" s="13">
        <f t="shared" si="0"/>
        <v>375</v>
      </c>
      <c r="M215" s="417">
        <v>355</v>
      </c>
    </row>
    <row r="216" spans="4:13" ht="12.75">
      <c r="D216">
        <v>2958</v>
      </c>
      <c r="E216" s="7">
        <v>2705.38</v>
      </c>
      <c r="F216">
        <v>215</v>
      </c>
      <c r="L216" s="13">
        <f t="shared" si="0"/>
        <v>720</v>
      </c>
      <c r="M216" s="417">
        <v>399</v>
      </c>
    </row>
    <row r="217" spans="4:13" ht="12.75">
      <c r="D217">
        <v>2959</v>
      </c>
      <c r="E217" s="7">
        <v>3250</v>
      </c>
      <c r="F217">
        <v>231</v>
      </c>
      <c r="L217" s="118">
        <f t="shared" si="0"/>
        <v>500</v>
      </c>
      <c r="M217" s="417">
        <v>242</v>
      </c>
    </row>
    <row r="218" spans="4:13" ht="12.75">
      <c r="D218">
        <v>2960</v>
      </c>
      <c r="E218" s="7">
        <v>1250</v>
      </c>
      <c r="F218">
        <v>231</v>
      </c>
      <c r="L218" s="118">
        <v>50</v>
      </c>
      <c r="M218" s="434" t="s">
        <v>602</v>
      </c>
    </row>
    <row r="219" spans="4:13" ht="12.75">
      <c r="D219">
        <v>2961</v>
      </c>
      <c r="E219" s="7">
        <v>2000</v>
      </c>
      <c r="F219">
        <v>231</v>
      </c>
      <c r="L219">
        <v>90</v>
      </c>
      <c r="M219" s="349" t="s">
        <v>520</v>
      </c>
    </row>
    <row r="220" spans="4:12" ht="12.75">
      <c r="D220">
        <v>2962</v>
      </c>
      <c r="E220" s="7">
        <v>1250</v>
      </c>
      <c r="F220">
        <v>231</v>
      </c>
      <c r="L220" s="118">
        <f>SUM(L209:L218)</f>
        <v>53331.759999999995</v>
      </c>
    </row>
    <row r="221" spans="4:12" ht="12.75">
      <c r="D221">
        <v>2963</v>
      </c>
      <c r="E221" s="7">
        <v>1250</v>
      </c>
      <c r="F221">
        <v>231</v>
      </c>
      <c r="L221" s="13"/>
    </row>
    <row r="222" spans="4:13" ht="12.75">
      <c r="D222">
        <v>2964</v>
      </c>
      <c r="E222" s="7">
        <v>1000</v>
      </c>
      <c r="F222">
        <v>244</v>
      </c>
      <c r="L222" s="13"/>
      <c r="M222" s="436"/>
    </row>
    <row r="223" spans="4:13" ht="12.75">
      <c r="D223">
        <v>2964</v>
      </c>
      <c r="E223" s="7">
        <v>200</v>
      </c>
      <c r="F223" s="33" t="s">
        <v>378</v>
      </c>
      <c r="L223" s="13"/>
      <c r="M223" s="436"/>
    </row>
    <row r="224" spans="4:13" ht="12.75">
      <c r="D224">
        <v>2964</v>
      </c>
      <c r="E224" s="7">
        <v>13496.46</v>
      </c>
      <c r="F224" s="33" t="s">
        <v>263</v>
      </c>
      <c r="H224" s="349" t="s">
        <v>603</v>
      </c>
      <c r="I224" s="349" t="s">
        <v>402</v>
      </c>
      <c r="J224" s="349" t="s">
        <v>40</v>
      </c>
      <c r="L224" s="13"/>
      <c r="M224" s="436"/>
    </row>
    <row r="225" spans="4:12" ht="12.75">
      <c r="D225">
        <v>2964</v>
      </c>
      <c r="E225" s="7">
        <v>538.85</v>
      </c>
      <c r="F225">
        <v>332</v>
      </c>
      <c r="H225" s="7">
        <f>E215+E217+E218+E219+E220+E221+E239+E240+E241+E242+E243+E244+E245+E246+E247+E248+E249+E250</f>
        <v>61168</v>
      </c>
      <c r="I225" s="417">
        <v>231</v>
      </c>
      <c r="J225" s="349" t="s">
        <v>623</v>
      </c>
      <c r="L225" s="13"/>
    </row>
    <row r="226" spans="4:12" ht="12.75">
      <c r="D226">
        <v>2964</v>
      </c>
      <c r="E226" s="7">
        <v>500</v>
      </c>
      <c r="F226" s="33" t="s">
        <v>382</v>
      </c>
      <c r="H226" s="7">
        <f>E216</f>
        <v>2705.38</v>
      </c>
      <c r="I226" s="417">
        <v>215</v>
      </c>
      <c r="J226" s="349" t="s">
        <v>624</v>
      </c>
      <c r="L226" s="13"/>
    </row>
    <row r="227" spans="4:12" ht="12.75">
      <c r="D227">
        <v>2964</v>
      </c>
      <c r="E227" s="7">
        <v>79</v>
      </c>
      <c r="F227" s="33" t="s">
        <v>622</v>
      </c>
      <c r="H227" s="7">
        <f>E222</f>
        <v>1000</v>
      </c>
      <c r="I227" s="417">
        <v>244</v>
      </c>
      <c r="J227" s="349" t="s">
        <v>625</v>
      </c>
      <c r="L227" s="13"/>
    </row>
    <row r="228" spans="4:12" ht="12.75">
      <c r="D228">
        <v>2964</v>
      </c>
      <c r="E228" s="7">
        <v>22.84</v>
      </c>
      <c r="F228" s="33">
        <v>391</v>
      </c>
      <c r="G228" s="13"/>
      <c r="H228" s="7">
        <f>E223+E230</f>
        <v>1370</v>
      </c>
      <c r="I228" s="434" t="s">
        <v>378</v>
      </c>
      <c r="J228" s="349" t="s">
        <v>626</v>
      </c>
      <c r="L228" s="13"/>
    </row>
    <row r="229" spans="4:12" ht="12.75">
      <c r="D229">
        <v>2965</v>
      </c>
      <c r="E229" s="7">
        <v>1000</v>
      </c>
      <c r="F229" s="33" t="s">
        <v>492</v>
      </c>
      <c r="H229" s="7">
        <f>E224</f>
        <v>13496.46</v>
      </c>
      <c r="I229" s="349" t="s">
        <v>263</v>
      </c>
      <c r="J229" s="349" t="s">
        <v>627</v>
      </c>
      <c r="L229" s="13"/>
    </row>
    <row r="230" spans="4:12" ht="12.75">
      <c r="D230">
        <v>2965</v>
      </c>
      <c r="E230" s="7">
        <v>1170</v>
      </c>
      <c r="F230" s="33" t="s">
        <v>378</v>
      </c>
      <c r="H230" s="7">
        <f>E225+E231</f>
        <v>3034.83</v>
      </c>
      <c r="I230" s="434">
        <v>332</v>
      </c>
      <c r="J230" s="349" t="s">
        <v>628</v>
      </c>
      <c r="L230" s="13"/>
    </row>
    <row r="231" spans="4:13" ht="12.75">
      <c r="D231">
        <v>2965</v>
      </c>
      <c r="E231" s="7">
        <v>2495.98</v>
      </c>
      <c r="F231" s="33">
        <v>332</v>
      </c>
      <c r="H231" s="7">
        <f>E226+E235</f>
        <v>900</v>
      </c>
      <c r="I231" s="349" t="s">
        <v>382</v>
      </c>
      <c r="J231" s="349" t="s">
        <v>629</v>
      </c>
      <c r="L231" s="13"/>
      <c r="M231" s="436"/>
    </row>
    <row r="232" spans="4:13" ht="12.75">
      <c r="D232">
        <v>2965</v>
      </c>
      <c r="E232" s="7">
        <v>1092.31</v>
      </c>
      <c r="F232" s="33">
        <v>354</v>
      </c>
      <c r="H232" s="7">
        <f>E227</f>
        <v>79</v>
      </c>
      <c r="I232" s="434" t="s">
        <v>622</v>
      </c>
      <c r="J232" s="349" t="s">
        <v>630</v>
      </c>
      <c r="L232" s="13"/>
      <c r="M232" s="436"/>
    </row>
    <row r="233" spans="4:13" ht="12.75">
      <c r="D233">
        <v>2965</v>
      </c>
      <c r="E233" s="7">
        <v>272</v>
      </c>
      <c r="F233" s="436">
        <v>355</v>
      </c>
      <c r="H233" s="7">
        <f>E228</f>
        <v>22.84</v>
      </c>
      <c r="I233" s="417">
        <v>391</v>
      </c>
      <c r="J233" s="349" t="s">
        <v>631</v>
      </c>
      <c r="L233" s="13"/>
      <c r="M233" s="436"/>
    </row>
    <row r="234" spans="4:13" ht="12.75">
      <c r="D234">
        <v>2965</v>
      </c>
      <c r="E234" s="7">
        <v>625</v>
      </c>
      <c r="F234" s="436" t="s">
        <v>274</v>
      </c>
      <c r="H234" s="7">
        <f>E229</f>
        <v>1000</v>
      </c>
      <c r="I234" s="465" t="s">
        <v>492</v>
      </c>
      <c r="J234" s="349" t="s">
        <v>632</v>
      </c>
      <c r="L234" s="13"/>
      <c r="M234" s="436"/>
    </row>
    <row r="235" spans="4:12" ht="12.75">
      <c r="D235">
        <v>2965</v>
      </c>
      <c r="E235" s="7">
        <v>400</v>
      </c>
      <c r="F235" s="436" t="s">
        <v>382</v>
      </c>
      <c r="H235" s="7">
        <f>E232</f>
        <v>1092.31</v>
      </c>
      <c r="I235" s="417">
        <v>354</v>
      </c>
      <c r="J235" s="349" t="s">
        <v>633</v>
      </c>
      <c r="L235" s="13"/>
    </row>
    <row r="236" spans="4:12" ht="12.75">
      <c r="D236">
        <v>2965</v>
      </c>
      <c r="E236" s="7">
        <v>2933.45</v>
      </c>
      <c r="F236" s="436" t="s">
        <v>384</v>
      </c>
      <c r="H236" s="7">
        <f>E233</f>
        <v>272</v>
      </c>
      <c r="I236" s="417">
        <v>355</v>
      </c>
      <c r="J236" s="349" t="s">
        <v>634</v>
      </c>
      <c r="L236" s="13"/>
    </row>
    <row r="237" spans="4:13" ht="12.75">
      <c r="D237">
        <v>2965</v>
      </c>
      <c r="E237" s="7">
        <v>541</v>
      </c>
      <c r="F237" s="33">
        <v>396</v>
      </c>
      <c r="H237" s="7">
        <v>625</v>
      </c>
      <c r="I237" s="349" t="s">
        <v>274</v>
      </c>
      <c r="J237" s="349" t="s">
        <v>635</v>
      </c>
      <c r="L237" s="13"/>
      <c r="M237" s="436"/>
    </row>
    <row r="238" spans="4:12" ht="12.75">
      <c r="D238">
        <v>2965</v>
      </c>
      <c r="E238" s="7">
        <v>7212.89</v>
      </c>
      <c r="F238" s="33">
        <v>398</v>
      </c>
      <c r="G238" s="13">
        <f>SUM(E229:E238)</f>
        <v>17742.629999999997</v>
      </c>
      <c r="H238" s="7">
        <v>2933.45</v>
      </c>
      <c r="I238" s="349" t="s">
        <v>384</v>
      </c>
      <c r="J238" s="349" t="s">
        <v>636</v>
      </c>
      <c r="L238" s="118"/>
    </row>
    <row r="239" spans="4:10" ht="12.75">
      <c r="D239">
        <v>2966</v>
      </c>
      <c r="E239" s="7">
        <v>2700</v>
      </c>
      <c r="F239" s="33">
        <v>231</v>
      </c>
      <c r="H239" s="7">
        <v>541</v>
      </c>
      <c r="I239" s="417">
        <v>396</v>
      </c>
      <c r="J239" s="349" t="s">
        <v>637</v>
      </c>
    </row>
    <row r="240" spans="4:10" ht="12.75">
      <c r="D240">
        <v>2967</v>
      </c>
      <c r="E240" s="7">
        <v>1800</v>
      </c>
      <c r="F240" s="463">
        <v>231</v>
      </c>
      <c r="H240" s="7">
        <v>7212.89</v>
      </c>
      <c r="I240" s="417">
        <v>398</v>
      </c>
      <c r="J240" s="349" t="s">
        <v>638</v>
      </c>
    </row>
    <row r="241" spans="4:8" ht="12.75">
      <c r="D241">
        <v>2968</v>
      </c>
      <c r="E241" s="7">
        <v>1500</v>
      </c>
      <c r="F241" s="464">
        <v>231</v>
      </c>
      <c r="H241" s="118">
        <f>SUM(H225:H240)</f>
        <v>97453.15999999999</v>
      </c>
    </row>
    <row r="242" spans="4:6" ht="12.75">
      <c r="D242">
        <v>2969</v>
      </c>
      <c r="E242" s="7">
        <v>1800</v>
      </c>
      <c r="F242" s="33">
        <v>231</v>
      </c>
    </row>
    <row r="243" spans="4:6" ht="12.75">
      <c r="D243">
        <v>2970</v>
      </c>
      <c r="E243" s="7">
        <v>1500</v>
      </c>
      <c r="F243" s="33">
        <v>231</v>
      </c>
    </row>
    <row r="244" spans="4:6" ht="12.75">
      <c r="D244">
        <v>2971</v>
      </c>
      <c r="E244" s="7">
        <v>1800</v>
      </c>
      <c r="F244" s="33">
        <v>231</v>
      </c>
    </row>
    <row r="245" spans="4:6" ht="12.75">
      <c r="D245">
        <v>2972</v>
      </c>
      <c r="E245" s="7">
        <v>1800</v>
      </c>
      <c r="F245" s="33">
        <v>231</v>
      </c>
    </row>
    <row r="246" spans="4:6" ht="12.75">
      <c r="D246">
        <v>2973</v>
      </c>
      <c r="E246" s="7">
        <v>1500</v>
      </c>
      <c r="F246" s="33">
        <v>231</v>
      </c>
    </row>
    <row r="247" spans="4:6" ht="12.75">
      <c r="D247">
        <v>2974</v>
      </c>
      <c r="E247" s="7">
        <v>30868</v>
      </c>
      <c r="F247" s="33">
        <v>231</v>
      </c>
    </row>
    <row r="248" spans="4:6" ht="12.75">
      <c r="D248">
        <v>2975</v>
      </c>
      <c r="E248" s="7">
        <v>1800</v>
      </c>
      <c r="F248" s="33">
        <v>231</v>
      </c>
    </row>
    <row r="249" spans="4:6" ht="12.75">
      <c r="D249">
        <v>2976</v>
      </c>
      <c r="E249" s="7">
        <v>1800</v>
      </c>
      <c r="F249" s="33">
        <v>231</v>
      </c>
    </row>
    <row r="250" spans="4:6" ht="15">
      <c r="D250">
        <v>2977</v>
      </c>
      <c r="E250" s="418">
        <v>1500</v>
      </c>
      <c r="F250" s="33">
        <v>231</v>
      </c>
    </row>
    <row r="251" ht="12.75">
      <c r="E251" s="7">
        <f>SUM(E215:E250)</f>
        <v>97453.16</v>
      </c>
    </row>
    <row r="252" ht="12.75">
      <c r="D252" t="s">
        <v>640</v>
      </c>
    </row>
    <row r="253" spans="4:5" ht="12.75">
      <c r="D253" t="s">
        <v>641</v>
      </c>
      <c r="E253" s="7">
        <v>175</v>
      </c>
    </row>
    <row r="254" spans="4:5" ht="12.75">
      <c r="D254" t="s">
        <v>642</v>
      </c>
      <c r="E254" s="7">
        <v>120</v>
      </c>
    </row>
    <row r="255" spans="4:5" ht="12.75">
      <c r="D255" t="s">
        <v>643</v>
      </c>
      <c r="E255" s="7">
        <v>155</v>
      </c>
    </row>
    <row r="256" spans="4:5" ht="15">
      <c r="D256" t="s">
        <v>644</v>
      </c>
      <c r="E256" s="418">
        <v>11982.9</v>
      </c>
    </row>
    <row r="257" spans="5:6" ht="12.75">
      <c r="E257" s="13">
        <f>SUM(E253:E256)</f>
        <v>12432.9</v>
      </c>
      <c r="F257" s="118">
        <f>E251+E257</f>
        <v>109886.06</v>
      </c>
    </row>
    <row r="260" spans="4:13" ht="25.5">
      <c r="D260" s="432" t="s">
        <v>639</v>
      </c>
      <c r="J260" s="751" t="s">
        <v>639</v>
      </c>
      <c r="K260" s="751"/>
      <c r="L260" s="751"/>
      <c r="M260" s="751"/>
    </row>
    <row r="261" spans="4:13" ht="12.75">
      <c r="D261" s="460" t="s">
        <v>667</v>
      </c>
      <c r="J261" s="750">
        <v>43160</v>
      </c>
      <c r="K261" s="750"/>
      <c r="L261" s="750"/>
      <c r="M261" s="750"/>
    </row>
    <row r="262" ht="13.5" thickBot="1"/>
    <row r="263" spans="4:13" ht="13.5" thickBot="1">
      <c r="D263" s="461" t="s">
        <v>620</v>
      </c>
      <c r="E263" s="441" t="s">
        <v>621</v>
      </c>
      <c r="F263" s="441" t="s">
        <v>402</v>
      </c>
      <c r="G263" s="462" t="s">
        <v>399</v>
      </c>
      <c r="J263" s="461" t="s">
        <v>620</v>
      </c>
      <c r="K263" s="441" t="s">
        <v>621</v>
      </c>
      <c r="L263" s="441" t="s">
        <v>402</v>
      </c>
      <c r="M263" s="462"/>
    </row>
    <row r="264" spans="4:13" ht="12.75">
      <c r="D264">
        <v>2978</v>
      </c>
      <c r="E264" s="7">
        <v>10371.99</v>
      </c>
      <c r="F264" s="417" t="s">
        <v>378</v>
      </c>
      <c r="J264">
        <v>2979</v>
      </c>
      <c r="K264" s="7">
        <v>10146.93</v>
      </c>
      <c r="L264" s="349" t="s">
        <v>492</v>
      </c>
      <c r="M264" s="7">
        <v>0</v>
      </c>
    </row>
    <row r="265" spans="4:14" ht="12.75">
      <c r="D265">
        <v>2978</v>
      </c>
      <c r="E265" s="7">
        <v>675</v>
      </c>
      <c r="F265" s="417">
        <v>322</v>
      </c>
      <c r="J265">
        <v>2982</v>
      </c>
      <c r="K265" s="119">
        <v>429.95</v>
      </c>
      <c r="L265" s="434">
        <v>292</v>
      </c>
      <c r="M265" s="7"/>
      <c r="N265" s="349" t="s">
        <v>603</v>
      </c>
    </row>
    <row r="266" spans="4:16" ht="12.75">
      <c r="D266">
        <v>2978</v>
      </c>
      <c r="E266" s="7">
        <v>50</v>
      </c>
      <c r="F266" s="417">
        <v>355</v>
      </c>
      <c r="J266">
        <v>2983</v>
      </c>
      <c r="K266" s="119">
        <v>464.35</v>
      </c>
      <c r="L266" s="434">
        <v>292</v>
      </c>
      <c r="N266" s="485" t="s">
        <v>492</v>
      </c>
      <c r="O266" s="7">
        <v>10146.93</v>
      </c>
      <c r="P266" s="7">
        <v>10146.93</v>
      </c>
    </row>
    <row r="267" spans="4:16" ht="12.75">
      <c r="D267">
        <v>2978</v>
      </c>
      <c r="E267" s="7">
        <v>300</v>
      </c>
      <c r="F267" s="417" t="s">
        <v>382</v>
      </c>
      <c r="J267">
        <v>2984</v>
      </c>
      <c r="K267" s="7">
        <v>4000</v>
      </c>
      <c r="L267" s="434" t="s">
        <v>674</v>
      </c>
      <c r="M267" s="13"/>
      <c r="N267" s="417">
        <v>292</v>
      </c>
      <c r="O267" s="118">
        <f>K265+K266+K268</f>
        <v>1059.95</v>
      </c>
      <c r="P267" s="7">
        <v>1059.95</v>
      </c>
    </row>
    <row r="268" spans="4:16" ht="12.75">
      <c r="D268">
        <v>2978</v>
      </c>
      <c r="E268" s="7">
        <v>701</v>
      </c>
      <c r="F268" s="417" t="s">
        <v>276</v>
      </c>
      <c r="J268">
        <v>2985</v>
      </c>
      <c r="K268" s="119">
        <v>165.65</v>
      </c>
      <c r="L268" s="417">
        <v>292</v>
      </c>
      <c r="N268" s="349" t="s">
        <v>674</v>
      </c>
      <c r="O268" s="485">
        <v>4000</v>
      </c>
      <c r="P268" s="7">
        <v>0</v>
      </c>
    </row>
    <row r="269" spans="4:16" ht="12.75">
      <c r="D269">
        <v>2978</v>
      </c>
      <c r="E269" s="7">
        <v>650</v>
      </c>
      <c r="F269" s="417">
        <v>395</v>
      </c>
      <c r="J269">
        <v>2986</v>
      </c>
      <c r="K269" s="119">
        <v>1150</v>
      </c>
      <c r="L269" s="349" t="s">
        <v>378</v>
      </c>
      <c r="N269" s="349" t="s">
        <v>378</v>
      </c>
      <c r="O269" s="7">
        <v>1150</v>
      </c>
      <c r="P269" s="474">
        <f>SUM(O268:O269)</f>
        <v>5150</v>
      </c>
    </row>
    <row r="270" spans="4:16" ht="12.75">
      <c r="D270" s="199">
        <v>2978</v>
      </c>
      <c r="E270" s="480">
        <v>6319.15</v>
      </c>
      <c r="F270" s="481">
        <v>398</v>
      </c>
      <c r="G270" s="484">
        <f>E270+E269+E268+E267+E266+E265+E264</f>
        <v>19067.14</v>
      </c>
      <c r="J270">
        <v>2986</v>
      </c>
      <c r="K270" s="119">
        <v>2058.91</v>
      </c>
      <c r="L270" s="417">
        <v>355</v>
      </c>
      <c r="N270" s="486" t="s">
        <v>272</v>
      </c>
      <c r="O270">
        <v>2058.91</v>
      </c>
      <c r="P270" s="7">
        <v>2058.91</v>
      </c>
    </row>
    <row r="271" spans="4:15" ht="12.75">
      <c r="D271">
        <v>2979</v>
      </c>
      <c r="E271" s="7">
        <v>10146.93</v>
      </c>
      <c r="F271" s="349" t="s">
        <v>492</v>
      </c>
      <c r="G271" s="7">
        <v>10146.93</v>
      </c>
      <c r="J271">
        <v>2986</v>
      </c>
      <c r="K271" s="119">
        <v>1225</v>
      </c>
      <c r="L271" s="349" t="s">
        <v>672</v>
      </c>
      <c r="N271" s="377" t="s">
        <v>672</v>
      </c>
      <c r="O271" s="7">
        <v>1225</v>
      </c>
    </row>
    <row r="272" spans="4:16" ht="12.75">
      <c r="D272">
        <v>2980</v>
      </c>
      <c r="E272" s="7">
        <v>2400</v>
      </c>
      <c r="F272" s="434">
        <v>238</v>
      </c>
      <c r="G272" s="7"/>
      <c r="J272">
        <v>2986</v>
      </c>
      <c r="K272" s="119">
        <v>225</v>
      </c>
      <c r="L272" s="349" t="s">
        <v>673</v>
      </c>
      <c r="N272" s="349" t="s">
        <v>673</v>
      </c>
      <c r="O272" s="7">
        <v>225</v>
      </c>
      <c r="P272" s="400">
        <f>SUM(O271:O272)</f>
        <v>1450</v>
      </c>
    </row>
    <row r="273" spans="4:12" ht="12.75">
      <c r="D273">
        <v>2981</v>
      </c>
      <c r="E273" s="7">
        <v>4102.48</v>
      </c>
      <c r="F273" s="434">
        <v>215</v>
      </c>
      <c r="H273" s="7">
        <f>165.65</f>
        <v>165.65</v>
      </c>
      <c r="J273">
        <v>2986</v>
      </c>
      <c r="K273" s="119">
        <v>1300</v>
      </c>
      <c r="L273" s="349" t="s">
        <v>382</v>
      </c>
    </row>
    <row r="274" spans="5:15" ht="12.75">
      <c r="E274" s="7"/>
      <c r="F274" s="434"/>
      <c r="G274" s="13">
        <f>E274+E273+E272</f>
        <v>6502.48</v>
      </c>
      <c r="J274">
        <v>2986</v>
      </c>
      <c r="K274" s="119">
        <v>1695</v>
      </c>
      <c r="L274" s="349" t="s">
        <v>384</v>
      </c>
      <c r="N274" s="377" t="s">
        <v>382</v>
      </c>
      <c r="O274" s="7">
        <v>1300</v>
      </c>
    </row>
    <row r="275" spans="4:15" ht="12.75">
      <c r="D275" t="s">
        <v>644</v>
      </c>
      <c r="E275" s="7">
        <v>17278</v>
      </c>
      <c r="J275">
        <v>2986</v>
      </c>
      <c r="K275" s="119">
        <v>600</v>
      </c>
      <c r="L275" s="349" t="s">
        <v>276</v>
      </c>
      <c r="N275" s="349" t="s">
        <v>384</v>
      </c>
      <c r="O275" s="7">
        <v>1695</v>
      </c>
    </row>
    <row r="276" spans="4:16" ht="12.75">
      <c r="D276" s="349" t="s">
        <v>668</v>
      </c>
      <c r="E276" s="118">
        <v>78.75</v>
      </c>
      <c r="H276" s="118"/>
      <c r="J276">
        <v>2986</v>
      </c>
      <c r="K276" s="119">
        <v>209.95</v>
      </c>
      <c r="L276" s="417">
        <v>395</v>
      </c>
      <c r="N276" s="349" t="s">
        <v>276</v>
      </c>
      <c r="O276" s="7">
        <v>600</v>
      </c>
      <c r="P276" s="474">
        <f>SUM(O274:O276)</f>
        <v>3595</v>
      </c>
    </row>
    <row r="277" spans="4:12" ht="12.75">
      <c r="D277" s="349" t="s">
        <v>669</v>
      </c>
      <c r="E277">
        <v>175</v>
      </c>
      <c r="H277" s="118"/>
      <c r="J277">
        <v>2986</v>
      </c>
      <c r="K277" s="119">
        <v>3590</v>
      </c>
      <c r="L277" s="417">
        <v>399</v>
      </c>
    </row>
    <row r="278" spans="4:15" ht="15">
      <c r="D278" s="349" t="s">
        <v>670</v>
      </c>
      <c r="E278">
        <v>240</v>
      </c>
      <c r="G278" s="482">
        <f>E275+E276+E277+E278</f>
        <v>17771.75</v>
      </c>
      <c r="J278">
        <v>2986</v>
      </c>
      <c r="K278" s="119">
        <v>4800.06</v>
      </c>
      <c r="L278" s="417">
        <v>398</v>
      </c>
      <c r="N278" s="417">
        <v>395</v>
      </c>
      <c r="O278" s="7">
        <v>209.95</v>
      </c>
    </row>
    <row r="279" spans="7:15" ht="12.75">
      <c r="G279" s="400">
        <f>SUM(G270:G278)</f>
        <v>53488.3</v>
      </c>
      <c r="H279" s="118"/>
      <c r="J279">
        <v>2986</v>
      </c>
      <c r="K279" s="119">
        <v>140</v>
      </c>
      <c r="L279" s="417">
        <v>396</v>
      </c>
      <c r="N279" s="417">
        <v>396</v>
      </c>
      <c r="O279" s="7">
        <v>140</v>
      </c>
    </row>
    <row r="280" spans="10:15" ht="12.75">
      <c r="J280">
        <v>2986</v>
      </c>
      <c r="K280" s="119">
        <v>589.5</v>
      </c>
      <c r="L280" s="434" t="s">
        <v>263</v>
      </c>
      <c r="M280" s="13">
        <v>0</v>
      </c>
      <c r="N280" s="417">
        <v>398</v>
      </c>
      <c r="O280" s="7">
        <v>4800.06</v>
      </c>
    </row>
    <row r="281" spans="10:16" ht="12.75">
      <c r="J281">
        <v>2987</v>
      </c>
      <c r="K281" s="119">
        <v>2028</v>
      </c>
      <c r="L281" s="434">
        <v>244</v>
      </c>
      <c r="N281" s="417">
        <v>399</v>
      </c>
      <c r="O281" s="7">
        <v>3590</v>
      </c>
      <c r="P281" s="474">
        <f>SUM(O278:O281)</f>
        <v>8740.01</v>
      </c>
    </row>
    <row r="282" spans="10:16" ht="12.75">
      <c r="J282">
        <v>2987</v>
      </c>
      <c r="K282" s="119">
        <v>24500</v>
      </c>
      <c r="L282" s="434">
        <v>231</v>
      </c>
      <c r="M282" s="13">
        <v>0</v>
      </c>
      <c r="N282" s="349" t="s">
        <v>263</v>
      </c>
      <c r="O282" s="7">
        <v>589.5</v>
      </c>
      <c r="P282" s="7">
        <v>589.5</v>
      </c>
    </row>
    <row r="283" spans="10:16" ht="12.75">
      <c r="J283">
        <v>2987</v>
      </c>
      <c r="K283" s="119">
        <v>2470</v>
      </c>
      <c r="L283" s="434">
        <v>241</v>
      </c>
      <c r="M283" s="118">
        <f>SUM(K264:K283)</f>
        <v>61788.3</v>
      </c>
      <c r="N283" s="487" t="s">
        <v>239</v>
      </c>
      <c r="O283" s="7">
        <v>24500</v>
      </c>
      <c r="P283" s="7">
        <v>24500</v>
      </c>
    </row>
    <row r="284" spans="10:15" ht="12.75">
      <c r="J284" t="s">
        <v>644</v>
      </c>
      <c r="K284" s="7"/>
      <c r="N284" s="488" t="s">
        <v>332</v>
      </c>
      <c r="O284" s="7">
        <v>2470</v>
      </c>
    </row>
    <row r="285" spans="10:16" ht="12.75">
      <c r="J285" s="349" t="s">
        <v>668</v>
      </c>
      <c r="K285" s="118">
        <v>92.68</v>
      </c>
      <c r="N285" s="417">
        <v>244</v>
      </c>
      <c r="O285" s="7">
        <v>2028</v>
      </c>
      <c r="P285" s="400">
        <f>SUM(O284:O285)</f>
        <v>4498</v>
      </c>
    </row>
    <row r="286" spans="10:11" ht="12.75">
      <c r="J286" s="349" t="s">
        <v>669</v>
      </c>
      <c r="K286">
        <v>0</v>
      </c>
    </row>
    <row r="287" spans="10:16" ht="15">
      <c r="J287" s="349" t="s">
        <v>670</v>
      </c>
      <c r="K287">
        <v>0</v>
      </c>
      <c r="M287" s="482">
        <f>K284+K285+K286+K287</f>
        <v>92.68</v>
      </c>
      <c r="P287">
        <v>92.68</v>
      </c>
    </row>
    <row r="288" spans="13:16" ht="12.75">
      <c r="M288" s="400">
        <f>SUM(M264:M287)</f>
        <v>61880.98</v>
      </c>
      <c r="P288" s="13">
        <f>SUM(P266:P287)</f>
        <v>61880.98</v>
      </c>
    </row>
    <row r="290" ht="12.75">
      <c r="P290" s="118">
        <f>M288-P288</f>
        <v>0</v>
      </c>
    </row>
    <row r="292" spans="4:13" ht="12.75">
      <c r="D292" s="751" t="s">
        <v>639</v>
      </c>
      <c r="E292" s="751"/>
      <c r="F292" s="751"/>
      <c r="G292" s="751"/>
      <c r="J292" s="751" t="s">
        <v>639</v>
      </c>
      <c r="K292" s="751"/>
      <c r="L292" s="751"/>
      <c r="M292" s="751"/>
    </row>
    <row r="293" spans="4:13" ht="12.75">
      <c r="D293" s="749" t="s">
        <v>678</v>
      </c>
      <c r="E293" s="750"/>
      <c r="F293" s="750"/>
      <c r="G293" s="750"/>
      <c r="J293" s="750">
        <v>43191</v>
      </c>
      <c r="K293" s="750"/>
      <c r="L293" s="750"/>
      <c r="M293" s="750"/>
    </row>
    <row r="294" ht="13.5" thickBot="1"/>
    <row r="295" spans="4:13" ht="13.5" thickBot="1">
      <c r="D295" s="461" t="s">
        <v>620</v>
      </c>
      <c r="E295" s="441" t="s">
        <v>621</v>
      </c>
      <c r="F295" s="441" t="s">
        <v>402</v>
      </c>
      <c r="G295" s="462"/>
      <c r="J295" s="461" t="s">
        <v>620</v>
      </c>
      <c r="K295" s="441" t="s">
        <v>621</v>
      </c>
      <c r="L295" s="441" t="s">
        <v>402</v>
      </c>
      <c r="M295" s="462"/>
    </row>
    <row r="296" spans="4:12" ht="12.75">
      <c r="D296">
        <v>2979</v>
      </c>
      <c r="E296" s="119">
        <v>10146.93</v>
      </c>
      <c r="F296" s="455" t="s">
        <v>492</v>
      </c>
      <c r="J296">
        <v>2979</v>
      </c>
      <c r="K296" s="7">
        <v>10146.93</v>
      </c>
      <c r="L296" s="349" t="s">
        <v>492</v>
      </c>
    </row>
    <row r="297" spans="4:14" ht="12.75">
      <c r="D297">
        <v>2984</v>
      </c>
      <c r="E297" s="119">
        <v>4000</v>
      </c>
      <c r="F297" s="457" t="s">
        <v>674</v>
      </c>
      <c r="G297" s="748" t="s">
        <v>603</v>
      </c>
      <c r="H297" s="748"/>
      <c r="I297" s="748"/>
      <c r="J297">
        <v>2984</v>
      </c>
      <c r="K297" s="7">
        <v>4000</v>
      </c>
      <c r="L297" s="434" t="s">
        <v>674</v>
      </c>
      <c r="N297" s="349" t="s">
        <v>603</v>
      </c>
    </row>
    <row r="298" spans="4:15" ht="12.75">
      <c r="D298">
        <v>3000</v>
      </c>
      <c r="E298" s="119">
        <v>3900</v>
      </c>
      <c r="F298" s="502" t="s">
        <v>239</v>
      </c>
      <c r="G298" s="504" t="s">
        <v>41</v>
      </c>
      <c r="H298" s="504" t="s">
        <v>402</v>
      </c>
      <c r="I298" s="504" t="s">
        <v>621</v>
      </c>
      <c r="J298" s="497">
        <v>2988</v>
      </c>
      <c r="K298" s="498">
        <v>3900</v>
      </c>
      <c r="L298" s="499">
        <v>231</v>
      </c>
      <c r="M298" s="349" t="s">
        <v>623</v>
      </c>
      <c r="N298" s="434">
        <v>231</v>
      </c>
      <c r="O298" s="7">
        <f>10800+11400</f>
        <v>22200</v>
      </c>
    </row>
    <row r="299" spans="4:15" ht="12.75">
      <c r="D299">
        <v>3001</v>
      </c>
      <c r="E299" s="119">
        <v>1500</v>
      </c>
      <c r="F299" s="502" t="s">
        <v>239</v>
      </c>
      <c r="G299" s="501" t="s">
        <v>623</v>
      </c>
      <c r="H299" s="500" t="s">
        <v>239</v>
      </c>
      <c r="I299" s="7">
        <f>E298+E299+E300+E301+E302+E303+E304+E305+E306+E307+E308+E309+E310+E311+E331+E332+E333+E334</f>
        <v>44400</v>
      </c>
      <c r="J299" s="497">
        <v>2989</v>
      </c>
      <c r="K299" s="498">
        <v>1500</v>
      </c>
      <c r="L299" s="499">
        <v>231</v>
      </c>
      <c r="N299" s="417">
        <v>215</v>
      </c>
      <c r="O299" s="7">
        <v>4303.44</v>
      </c>
    </row>
    <row r="300" spans="4:15" ht="12.75">
      <c r="D300">
        <v>3002</v>
      </c>
      <c r="E300" s="119">
        <v>1500</v>
      </c>
      <c r="F300" s="502" t="s">
        <v>239</v>
      </c>
      <c r="G300" s="501" t="s">
        <v>682</v>
      </c>
      <c r="H300" s="349" t="s">
        <v>492</v>
      </c>
      <c r="I300" s="7">
        <f>E296+E328</f>
        <v>10646.93</v>
      </c>
      <c r="J300" s="497">
        <v>2990</v>
      </c>
      <c r="K300" s="498">
        <v>2400</v>
      </c>
      <c r="L300" s="499">
        <v>231</v>
      </c>
      <c r="N300" s="434" t="s">
        <v>492</v>
      </c>
      <c r="O300" s="485">
        <v>10146.93</v>
      </c>
    </row>
    <row r="301" spans="4:15" ht="12.75">
      <c r="D301">
        <v>3003</v>
      </c>
      <c r="E301" s="119">
        <v>1500</v>
      </c>
      <c r="F301" s="502" t="s">
        <v>239</v>
      </c>
      <c r="G301" s="501" t="s">
        <v>683</v>
      </c>
      <c r="H301" s="349" t="s">
        <v>674</v>
      </c>
      <c r="I301" s="7">
        <f>E297</f>
        <v>4000</v>
      </c>
      <c r="J301" s="497">
        <v>2991</v>
      </c>
      <c r="K301" s="498">
        <v>1500</v>
      </c>
      <c r="L301" s="499">
        <v>231</v>
      </c>
      <c r="N301" s="434" t="s">
        <v>674</v>
      </c>
      <c r="O301" s="485">
        <v>4000</v>
      </c>
    </row>
    <row r="302" spans="4:15" ht="12.75">
      <c r="D302">
        <v>3004</v>
      </c>
      <c r="E302" s="119">
        <v>2400</v>
      </c>
      <c r="F302" s="502" t="s">
        <v>239</v>
      </c>
      <c r="G302" s="501" t="s">
        <v>684</v>
      </c>
      <c r="H302" s="349" t="s">
        <v>679</v>
      </c>
      <c r="I302" s="7">
        <v>174.5</v>
      </c>
      <c r="J302" s="497">
        <v>2992</v>
      </c>
      <c r="K302" s="498">
        <v>1500</v>
      </c>
      <c r="L302" s="499">
        <v>231</v>
      </c>
      <c r="M302" s="13"/>
      <c r="N302" s="417">
        <v>292</v>
      </c>
      <c r="O302" s="498">
        <v>5821.81</v>
      </c>
    </row>
    <row r="303" spans="4:15" ht="12.75">
      <c r="D303">
        <v>3005</v>
      </c>
      <c r="E303" s="119">
        <v>1000</v>
      </c>
      <c r="F303" s="502" t="s">
        <v>239</v>
      </c>
      <c r="G303" s="501" t="s">
        <v>685</v>
      </c>
      <c r="H303" s="500" t="s">
        <v>269</v>
      </c>
      <c r="I303" s="7">
        <f>E313</f>
        <v>1232.87</v>
      </c>
      <c r="J303" s="497">
        <v>2993</v>
      </c>
      <c r="K303" s="498">
        <v>4303.44</v>
      </c>
      <c r="L303" s="499">
        <v>215</v>
      </c>
      <c r="M303" s="349" t="s">
        <v>677</v>
      </c>
      <c r="O303" s="13">
        <f>SUM(O298:O302)</f>
        <v>46472.17999999999</v>
      </c>
    </row>
    <row r="304" spans="4:12" ht="12.75">
      <c r="D304">
        <v>3006</v>
      </c>
      <c r="E304" s="119">
        <v>3900</v>
      </c>
      <c r="F304" s="502" t="s">
        <v>239</v>
      </c>
      <c r="G304" s="501" t="s">
        <v>627</v>
      </c>
      <c r="H304" s="349" t="s">
        <v>263</v>
      </c>
      <c r="I304" s="7">
        <f>E314</f>
        <v>12109.94</v>
      </c>
      <c r="J304" s="497">
        <v>2994</v>
      </c>
      <c r="K304" s="498">
        <v>3900</v>
      </c>
      <c r="L304" s="499">
        <v>231</v>
      </c>
    </row>
    <row r="305" spans="4:15" ht="12.75">
      <c r="D305">
        <v>3007</v>
      </c>
      <c r="E305" s="119">
        <v>1500</v>
      </c>
      <c r="F305" s="502" t="s">
        <v>239</v>
      </c>
      <c r="G305" s="501" t="s">
        <v>686</v>
      </c>
      <c r="H305" s="500" t="s">
        <v>280</v>
      </c>
      <c r="I305" s="7">
        <f>E315+E324</f>
        <v>2442.96</v>
      </c>
      <c r="J305" s="497">
        <v>2995</v>
      </c>
      <c r="K305" s="498">
        <v>1500</v>
      </c>
      <c r="L305" s="499">
        <v>231</v>
      </c>
      <c r="O305">
        <f>2905.62+2529.53</f>
        <v>5435.15</v>
      </c>
    </row>
    <row r="306" spans="4:15" ht="12.75">
      <c r="D306">
        <v>3008</v>
      </c>
      <c r="E306" s="119">
        <v>1500</v>
      </c>
      <c r="F306" s="502" t="s">
        <v>239</v>
      </c>
      <c r="G306" s="501" t="s">
        <v>687</v>
      </c>
      <c r="H306" s="349" t="s">
        <v>378</v>
      </c>
      <c r="I306" s="7">
        <f>E316+E327</f>
        <v>2510</v>
      </c>
      <c r="J306" s="497">
        <v>2996</v>
      </c>
      <c r="K306" s="498">
        <v>1500</v>
      </c>
      <c r="L306" s="499">
        <v>231</v>
      </c>
      <c r="O306">
        <f>43.75+8.15+120+16.2+15.46+2.25+5.85+175</f>
        <v>386.65999999999997</v>
      </c>
    </row>
    <row r="307" spans="4:15" ht="12.75">
      <c r="D307">
        <v>3009</v>
      </c>
      <c r="E307" s="119">
        <v>1500</v>
      </c>
      <c r="F307" s="502" t="s">
        <v>239</v>
      </c>
      <c r="G307" s="501" t="s">
        <v>625</v>
      </c>
      <c r="H307" s="500" t="s">
        <v>258</v>
      </c>
      <c r="I307" s="7">
        <v>1500</v>
      </c>
      <c r="J307" s="497">
        <v>2997</v>
      </c>
      <c r="K307" s="498">
        <v>1500</v>
      </c>
      <c r="L307" s="499">
        <v>231</v>
      </c>
      <c r="O307">
        <f>SUM(O305:O306)</f>
        <v>5821.8099999999995</v>
      </c>
    </row>
    <row r="308" spans="4:12" ht="12.75">
      <c r="D308">
        <v>3010</v>
      </c>
      <c r="E308" s="119">
        <v>4800</v>
      </c>
      <c r="F308" s="502" t="s">
        <v>239</v>
      </c>
      <c r="G308" s="501" t="s">
        <v>634</v>
      </c>
      <c r="H308" s="500" t="s">
        <v>272</v>
      </c>
      <c r="I308" s="7">
        <f>200.36+150</f>
        <v>350.36</v>
      </c>
      <c r="J308" s="497">
        <v>2998</v>
      </c>
      <c r="K308" s="498">
        <v>1500</v>
      </c>
      <c r="L308" s="499">
        <v>231</v>
      </c>
    </row>
    <row r="309" spans="4:13" ht="12.75">
      <c r="D309">
        <v>3011</v>
      </c>
      <c r="E309" s="119">
        <v>4800</v>
      </c>
      <c r="F309" s="502" t="s">
        <v>239</v>
      </c>
      <c r="G309" s="501" t="s">
        <v>688</v>
      </c>
      <c r="H309" s="500" t="s">
        <v>672</v>
      </c>
      <c r="I309" s="7">
        <v>84</v>
      </c>
      <c r="J309" s="497">
        <v>2999</v>
      </c>
      <c r="K309" s="498">
        <v>1500</v>
      </c>
      <c r="L309" s="499">
        <v>231</v>
      </c>
      <c r="M309" s="118"/>
    </row>
    <row r="310" spans="4:11" ht="12.75">
      <c r="D310">
        <v>3012</v>
      </c>
      <c r="E310" s="119">
        <v>4000</v>
      </c>
      <c r="F310" s="502" t="s">
        <v>239</v>
      </c>
      <c r="G310" s="501" t="s">
        <v>689</v>
      </c>
      <c r="H310" s="349" t="s">
        <v>274</v>
      </c>
      <c r="I310" s="7">
        <f>E320</f>
        <v>1654</v>
      </c>
      <c r="K310" s="13">
        <f>SUM(K296:K309)</f>
        <v>40650.369999999995</v>
      </c>
    </row>
    <row r="311" spans="4:11" ht="12.75">
      <c r="D311">
        <v>3013</v>
      </c>
      <c r="E311" s="119">
        <v>4000</v>
      </c>
      <c r="F311" s="502" t="s">
        <v>239</v>
      </c>
      <c r="G311" s="501" t="s">
        <v>690</v>
      </c>
      <c r="H311" s="349" t="s">
        <v>382</v>
      </c>
      <c r="I311" s="7">
        <f>E321+E330</f>
        <v>12598.5</v>
      </c>
      <c r="K311" s="498">
        <v>5821.81</v>
      </c>
    </row>
    <row r="312" spans="1:11" ht="12.75">
      <c r="A312" s="1" t="s">
        <v>696</v>
      </c>
      <c r="B312" s="1"/>
      <c r="C312" s="1"/>
      <c r="D312">
        <v>3014</v>
      </c>
      <c r="E312" s="119">
        <v>174.5</v>
      </c>
      <c r="F312" s="455" t="s">
        <v>679</v>
      </c>
      <c r="G312" s="501" t="s">
        <v>691</v>
      </c>
      <c r="H312" s="349" t="s">
        <v>384</v>
      </c>
      <c r="I312" s="7">
        <f>E322</f>
        <v>3740</v>
      </c>
      <c r="K312" s="13">
        <f>SUM(K310:K311)</f>
        <v>46472.17999999999</v>
      </c>
    </row>
    <row r="313" spans="1:12" ht="12.75">
      <c r="A313" s="743" t="s">
        <v>886</v>
      </c>
      <c r="B313" s="743"/>
      <c r="C313" s="743"/>
      <c r="D313">
        <v>3015</v>
      </c>
      <c r="E313" s="119">
        <v>1232.87</v>
      </c>
      <c r="F313" s="502" t="s">
        <v>269</v>
      </c>
      <c r="G313" s="501" t="s">
        <v>692</v>
      </c>
      <c r="H313" s="349" t="s">
        <v>573</v>
      </c>
      <c r="I313" s="7">
        <v>1723</v>
      </c>
      <c r="J313" s="505"/>
      <c r="L313" s="7"/>
    </row>
    <row r="314" spans="4:11" ht="15">
      <c r="D314">
        <v>3015</v>
      </c>
      <c r="E314" s="119">
        <v>12109.94</v>
      </c>
      <c r="F314" s="502" t="s">
        <v>680</v>
      </c>
      <c r="G314" s="501" t="s">
        <v>693</v>
      </c>
      <c r="H314" s="500" t="s">
        <v>694</v>
      </c>
      <c r="I314" s="418">
        <f>E325+E326</f>
        <v>4126.66</v>
      </c>
      <c r="K314" s="417"/>
    </row>
    <row r="315" spans="1:9" ht="12.75">
      <c r="A315" s="349" t="s">
        <v>697</v>
      </c>
      <c r="B315" s="7">
        <f>1677.5+295</f>
        <v>1972.5</v>
      </c>
      <c r="D315">
        <v>3015</v>
      </c>
      <c r="E315" s="119">
        <v>1014</v>
      </c>
      <c r="F315" s="502" t="s">
        <v>280</v>
      </c>
      <c r="I315" s="498">
        <f>SUM(I299:I314)</f>
        <v>103293.72000000002</v>
      </c>
    </row>
    <row r="316" spans="1:9" ht="12.75">
      <c r="A316" s="349" t="s">
        <v>698</v>
      </c>
      <c r="B316" s="7">
        <f>1268.4+175</f>
        <v>1443.4</v>
      </c>
      <c r="D316">
        <v>3015</v>
      </c>
      <c r="E316" s="456">
        <v>1050</v>
      </c>
      <c r="F316" s="455" t="s">
        <v>378</v>
      </c>
      <c r="G316" s="505" t="s">
        <v>695</v>
      </c>
      <c r="H316" s="417">
        <v>292</v>
      </c>
      <c r="I316" s="7">
        <v>3970</v>
      </c>
    </row>
    <row r="317" spans="1:9" ht="12.75">
      <c r="A317" s="349" t="s">
        <v>699</v>
      </c>
      <c r="B317" s="7">
        <f>1563.63+175</f>
        <v>1738.63</v>
      </c>
      <c r="D317">
        <v>3015</v>
      </c>
      <c r="E317" s="456">
        <v>1500</v>
      </c>
      <c r="F317" s="502" t="s">
        <v>258</v>
      </c>
      <c r="G317" s="13"/>
      <c r="I317" s="400">
        <f>SUM(I315:I316)</f>
        <v>107263.72000000002</v>
      </c>
    </row>
    <row r="318" spans="2:9" ht="12.75">
      <c r="B318" s="13"/>
      <c r="D318">
        <v>3016</v>
      </c>
      <c r="E318" s="456">
        <v>200.36</v>
      </c>
      <c r="F318" s="502" t="s">
        <v>272</v>
      </c>
      <c r="I318" s="400"/>
    </row>
    <row r="319" spans="4:9" ht="12.75">
      <c r="D319">
        <v>3016</v>
      </c>
      <c r="E319" s="456">
        <v>84</v>
      </c>
      <c r="F319" s="455" t="s">
        <v>672</v>
      </c>
      <c r="I319" s="400"/>
    </row>
    <row r="320" spans="4:9" ht="12.75">
      <c r="D320">
        <v>3016</v>
      </c>
      <c r="E320" s="456">
        <v>1654</v>
      </c>
      <c r="F320" s="455" t="s">
        <v>274</v>
      </c>
      <c r="I320" s="400"/>
    </row>
    <row r="321" spans="4:6" ht="12.75">
      <c r="D321">
        <v>3016</v>
      </c>
      <c r="E321" s="456">
        <v>1550</v>
      </c>
      <c r="F321" s="455" t="s">
        <v>382</v>
      </c>
    </row>
    <row r="322" spans="4:6" ht="12.75">
      <c r="D322">
        <v>3016</v>
      </c>
      <c r="E322" s="456">
        <v>3740</v>
      </c>
      <c r="F322" s="455" t="s">
        <v>384</v>
      </c>
    </row>
    <row r="323" spans="4:13" ht="12.75">
      <c r="D323">
        <v>3016</v>
      </c>
      <c r="E323" s="456">
        <v>1723</v>
      </c>
      <c r="F323" s="455" t="s">
        <v>573</v>
      </c>
      <c r="J323" s="751" t="s">
        <v>639</v>
      </c>
      <c r="K323" s="751"/>
      <c r="L323" s="751"/>
      <c r="M323" s="751"/>
    </row>
    <row r="324" spans="4:13" ht="12.75">
      <c r="D324">
        <v>3016</v>
      </c>
      <c r="E324" s="456">
        <v>1428.96</v>
      </c>
      <c r="F324" s="502" t="s">
        <v>280</v>
      </c>
      <c r="J324" s="749" t="s">
        <v>881</v>
      </c>
      <c r="K324" s="750"/>
      <c r="L324" s="750"/>
      <c r="M324" s="750"/>
    </row>
    <row r="325" spans="4:6" ht="12.75">
      <c r="D325">
        <v>3016</v>
      </c>
      <c r="E325" s="456">
        <v>3839.15</v>
      </c>
      <c r="F325" s="502" t="s">
        <v>284</v>
      </c>
    </row>
    <row r="326" spans="4:15" ht="12.75">
      <c r="D326">
        <v>3016</v>
      </c>
      <c r="E326" s="456">
        <v>287.51</v>
      </c>
      <c r="F326" s="503" t="s">
        <v>278</v>
      </c>
      <c r="I326" s="55"/>
      <c r="J326" s="352" t="s">
        <v>620</v>
      </c>
      <c r="K326" s="352" t="s">
        <v>621</v>
      </c>
      <c r="L326" s="352" t="s">
        <v>402</v>
      </c>
      <c r="M326" s="352"/>
      <c r="N326" s="55"/>
      <c r="O326" s="55"/>
    </row>
    <row r="327" spans="4:15" ht="12.75">
      <c r="D327">
        <v>3016</v>
      </c>
      <c r="E327" s="456">
        <v>1460</v>
      </c>
      <c r="F327" s="455" t="s">
        <v>378</v>
      </c>
      <c r="G327" s="13"/>
      <c r="I327" s="55"/>
      <c r="J327" s="55"/>
      <c r="K327" s="10"/>
      <c r="L327" s="350"/>
      <c r="M327" s="55"/>
      <c r="N327" s="55"/>
      <c r="O327" s="55"/>
    </row>
    <row r="328" spans="4:15" ht="12.75">
      <c r="D328">
        <v>3016</v>
      </c>
      <c r="E328" s="456">
        <v>500</v>
      </c>
      <c r="F328" s="455" t="s">
        <v>492</v>
      </c>
      <c r="I328" s="55"/>
      <c r="J328" s="55"/>
      <c r="K328" s="10"/>
      <c r="L328" s="686"/>
      <c r="M328" s="748" t="s">
        <v>603</v>
      </c>
      <c r="N328" s="748"/>
      <c r="O328" s="748"/>
    </row>
    <row r="329" spans="4:16" ht="12.75">
      <c r="D329">
        <v>3016</v>
      </c>
      <c r="E329" s="456">
        <v>150</v>
      </c>
      <c r="F329" s="502" t="s">
        <v>681</v>
      </c>
      <c r="I329" s="694" t="s">
        <v>882</v>
      </c>
      <c r="J329" s="695">
        <v>3003</v>
      </c>
      <c r="K329" s="696">
        <v>1500</v>
      </c>
      <c r="L329" s="697" t="s">
        <v>239</v>
      </c>
      <c r="M329" s="504" t="s">
        <v>41</v>
      </c>
      <c r="N329" s="504" t="s">
        <v>402</v>
      </c>
      <c r="O329" s="504" t="s">
        <v>621</v>
      </c>
      <c r="P329" s="118"/>
    </row>
    <row r="330" spans="4:16" ht="12.75">
      <c r="D330">
        <v>3017</v>
      </c>
      <c r="E330" s="456">
        <v>11048.5</v>
      </c>
      <c r="F330" s="455" t="s">
        <v>382</v>
      </c>
      <c r="I330" s="694" t="s">
        <v>882</v>
      </c>
      <c r="J330" s="695">
        <v>3004</v>
      </c>
      <c r="K330" s="696">
        <v>2400</v>
      </c>
      <c r="L330" s="697" t="s">
        <v>239</v>
      </c>
      <c r="M330" s="310" t="s">
        <v>623</v>
      </c>
      <c r="N330" s="683" t="s">
        <v>239</v>
      </c>
      <c r="O330" s="19">
        <f>K329+K330+K331+K332+K333+K334+K335+K349+K350+K351+K352+K353+K359+K360</f>
        <v>39400</v>
      </c>
      <c r="P330" s="7"/>
    </row>
    <row r="331" spans="4:15" ht="12.75">
      <c r="D331">
        <v>3018</v>
      </c>
      <c r="E331" s="456">
        <v>1500</v>
      </c>
      <c r="F331" s="502" t="s">
        <v>239</v>
      </c>
      <c r="I331" s="695"/>
      <c r="J331" s="695">
        <v>3007</v>
      </c>
      <c r="K331" s="696">
        <v>1500</v>
      </c>
      <c r="L331" s="697" t="s">
        <v>239</v>
      </c>
      <c r="M331" s="310" t="s">
        <v>883</v>
      </c>
      <c r="N331" s="355">
        <v>215</v>
      </c>
      <c r="O331" s="344">
        <f>K356</f>
        <v>4102.48</v>
      </c>
    </row>
    <row r="332" spans="4:16" ht="12.75">
      <c r="D332">
        <v>3019</v>
      </c>
      <c r="E332" s="456">
        <v>1800</v>
      </c>
      <c r="F332" s="502" t="s">
        <v>239</v>
      </c>
      <c r="I332" s="694" t="s">
        <v>882</v>
      </c>
      <c r="J332" s="695">
        <v>3009</v>
      </c>
      <c r="K332" s="696">
        <v>1500</v>
      </c>
      <c r="L332" s="697" t="s">
        <v>239</v>
      </c>
      <c r="M332" s="310" t="s">
        <v>682</v>
      </c>
      <c r="N332" s="350" t="s">
        <v>492</v>
      </c>
      <c r="O332" s="19">
        <f>K346+K358</f>
        <v>19933.94</v>
      </c>
      <c r="P332" s="118"/>
    </row>
    <row r="333" spans="4:15" ht="12.75">
      <c r="D333">
        <v>3020</v>
      </c>
      <c r="E333" s="456">
        <v>1800</v>
      </c>
      <c r="F333" s="502" t="s">
        <v>239</v>
      </c>
      <c r="I333" s="694" t="s">
        <v>882</v>
      </c>
      <c r="J333" s="695">
        <v>3010</v>
      </c>
      <c r="K333" s="696">
        <v>4800</v>
      </c>
      <c r="L333" s="697" t="s">
        <v>239</v>
      </c>
      <c r="M333" s="310" t="s">
        <v>683</v>
      </c>
      <c r="N333" s="350" t="s">
        <v>674</v>
      </c>
      <c r="O333" s="19">
        <f>K328</f>
        <v>0</v>
      </c>
    </row>
    <row r="334" spans="4:15" ht="12.75">
      <c r="D334">
        <v>3021</v>
      </c>
      <c r="E334" s="456">
        <v>1500</v>
      </c>
      <c r="F334" s="502" t="s">
        <v>239</v>
      </c>
      <c r="I334" s="694" t="s">
        <v>882</v>
      </c>
      <c r="J334" s="695">
        <v>3011</v>
      </c>
      <c r="K334" s="696">
        <v>4800</v>
      </c>
      <c r="L334" s="697" t="s">
        <v>239</v>
      </c>
      <c r="M334" s="310" t="s">
        <v>684</v>
      </c>
      <c r="N334" s="350" t="s">
        <v>679</v>
      </c>
      <c r="O334" s="19">
        <f>K354</f>
        <v>581.5</v>
      </c>
    </row>
    <row r="335" spans="5:15" ht="12.75">
      <c r="E335" s="456">
        <f>SUM(E296:E334)</f>
        <v>103293.72</v>
      </c>
      <c r="I335" s="694" t="s">
        <v>882</v>
      </c>
      <c r="J335" s="695">
        <v>3013</v>
      </c>
      <c r="K335" s="696">
        <v>4000</v>
      </c>
      <c r="L335" s="697" t="s">
        <v>239</v>
      </c>
      <c r="M335" s="310" t="s">
        <v>685</v>
      </c>
      <c r="N335" s="683" t="s">
        <v>269</v>
      </c>
      <c r="O335" s="19"/>
    </row>
    <row r="336" spans="3:15" ht="12.75">
      <c r="C336" s="505" t="s">
        <v>695</v>
      </c>
      <c r="E336" s="7">
        <v>3970</v>
      </c>
      <c r="F336" s="417">
        <v>292</v>
      </c>
      <c r="I336" s="350" t="s">
        <v>882</v>
      </c>
      <c r="J336" s="695">
        <v>3016</v>
      </c>
      <c r="K336" s="698">
        <v>200.36</v>
      </c>
      <c r="L336" s="697" t="s">
        <v>272</v>
      </c>
      <c r="M336" s="310" t="s">
        <v>627</v>
      </c>
      <c r="N336" s="350" t="s">
        <v>263</v>
      </c>
      <c r="O336" s="19"/>
    </row>
    <row r="337" spans="5:15" ht="12.75">
      <c r="E337" s="13">
        <f>SUM(E335:E336)</f>
        <v>107263.72</v>
      </c>
      <c r="I337" s="350" t="s">
        <v>882</v>
      </c>
      <c r="J337" s="699">
        <v>3016</v>
      </c>
      <c r="K337" s="700">
        <v>84</v>
      </c>
      <c r="L337" s="699" t="s">
        <v>672</v>
      </c>
      <c r="M337" s="310" t="s">
        <v>686</v>
      </c>
      <c r="N337" s="683" t="s">
        <v>280</v>
      </c>
      <c r="O337" s="19">
        <f>K342</f>
        <v>1428.96</v>
      </c>
    </row>
    <row r="338" spans="8:15" ht="12.75">
      <c r="H338" s="13"/>
      <c r="I338" s="350" t="s">
        <v>882</v>
      </c>
      <c r="J338" s="699">
        <v>3016</v>
      </c>
      <c r="K338" s="700">
        <v>1654</v>
      </c>
      <c r="L338" s="699" t="s">
        <v>274</v>
      </c>
      <c r="M338" s="310" t="s">
        <v>687</v>
      </c>
      <c r="N338" s="350" t="s">
        <v>378</v>
      </c>
      <c r="O338" s="19">
        <f>K345</f>
        <v>1460</v>
      </c>
    </row>
    <row r="339" spans="9:15" ht="12.75">
      <c r="I339" s="350" t="s">
        <v>882</v>
      </c>
      <c r="J339" s="699">
        <v>3016</v>
      </c>
      <c r="K339" s="700">
        <v>1550</v>
      </c>
      <c r="L339" s="699" t="s">
        <v>382</v>
      </c>
      <c r="M339" s="310" t="s">
        <v>625</v>
      </c>
      <c r="N339" s="683" t="s">
        <v>258</v>
      </c>
      <c r="O339" s="19">
        <v>0</v>
      </c>
    </row>
    <row r="340" spans="9:15" ht="12.75">
      <c r="I340" s="350" t="s">
        <v>882</v>
      </c>
      <c r="J340" s="699">
        <v>3016</v>
      </c>
      <c r="K340" s="700">
        <v>3740</v>
      </c>
      <c r="L340" s="699" t="s">
        <v>384</v>
      </c>
      <c r="M340" s="310" t="s">
        <v>634</v>
      </c>
      <c r="N340" s="683" t="s">
        <v>272</v>
      </c>
      <c r="O340" s="19">
        <f>K347+K336</f>
        <v>350.36</v>
      </c>
    </row>
    <row r="341" spans="9:15" ht="12.75">
      <c r="I341" s="350" t="s">
        <v>882</v>
      </c>
      <c r="J341" s="699">
        <v>3016</v>
      </c>
      <c r="K341" s="700">
        <v>1723</v>
      </c>
      <c r="L341" s="699" t="s">
        <v>573</v>
      </c>
      <c r="M341" s="310" t="s">
        <v>688</v>
      </c>
      <c r="N341" s="683" t="s">
        <v>672</v>
      </c>
      <c r="O341" s="19">
        <v>84</v>
      </c>
    </row>
    <row r="342" spans="9:15" ht="12.75">
      <c r="I342" s="350" t="s">
        <v>882</v>
      </c>
      <c r="J342" s="695">
        <v>3016</v>
      </c>
      <c r="K342" s="698">
        <v>1428.96</v>
      </c>
      <c r="L342" s="697" t="s">
        <v>280</v>
      </c>
      <c r="M342" s="310" t="s">
        <v>689</v>
      </c>
      <c r="N342" s="350" t="s">
        <v>274</v>
      </c>
      <c r="O342" s="19">
        <f>K338</f>
        <v>1654</v>
      </c>
    </row>
    <row r="343" spans="9:15" ht="12.75">
      <c r="I343" s="350" t="s">
        <v>882</v>
      </c>
      <c r="J343" s="652">
        <v>3016</v>
      </c>
      <c r="K343" s="700">
        <v>3839.15</v>
      </c>
      <c r="L343" s="701" t="s">
        <v>284</v>
      </c>
      <c r="M343" s="310" t="s">
        <v>690</v>
      </c>
      <c r="N343" s="350" t="s">
        <v>382</v>
      </c>
      <c r="O343" s="19">
        <f>K339+K348</f>
        <v>12598.5</v>
      </c>
    </row>
    <row r="344" spans="9:16" ht="12.75">
      <c r="I344" s="350" t="s">
        <v>882</v>
      </c>
      <c r="J344" s="652">
        <v>3016</v>
      </c>
      <c r="K344" s="700">
        <v>287.51</v>
      </c>
      <c r="L344" s="702" t="s">
        <v>278</v>
      </c>
      <c r="M344" s="310" t="s">
        <v>691</v>
      </c>
      <c r="N344" s="350" t="s">
        <v>384</v>
      </c>
      <c r="O344" s="19">
        <f>K340</f>
        <v>3740</v>
      </c>
      <c r="P344" s="118"/>
    </row>
    <row r="345" spans="9:16" ht="12.75">
      <c r="I345" s="350" t="s">
        <v>882</v>
      </c>
      <c r="J345" s="695">
        <v>3016</v>
      </c>
      <c r="K345" s="698">
        <v>1460</v>
      </c>
      <c r="L345" s="703" t="s">
        <v>378</v>
      </c>
      <c r="M345" s="310" t="s">
        <v>692</v>
      </c>
      <c r="N345" s="350" t="s">
        <v>573</v>
      </c>
      <c r="O345" s="19">
        <v>1723</v>
      </c>
      <c r="P345" s="118"/>
    </row>
    <row r="346" spans="9:16" ht="15">
      <c r="I346" s="350" t="s">
        <v>882</v>
      </c>
      <c r="J346" s="652">
        <v>3016</v>
      </c>
      <c r="K346" s="700">
        <v>500</v>
      </c>
      <c r="L346" s="699" t="s">
        <v>492</v>
      </c>
      <c r="M346" s="310" t="s">
        <v>693</v>
      </c>
      <c r="N346" s="687">
        <v>399</v>
      </c>
      <c r="O346" s="704">
        <f>K343+K344</f>
        <v>4126.66</v>
      </c>
      <c r="P346" s="118"/>
    </row>
    <row r="347" spans="9:15" ht="12.75">
      <c r="I347" s="350" t="s">
        <v>882</v>
      </c>
      <c r="J347" s="703">
        <v>3016</v>
      </c>
      <c r="K347" s="698">
        <v>150</v>
      </c>
      <c r="L347" s="697" t="s">
        <v>681</v>
      </c>
      <c r="M347" s="55"/>
      <c r="N347" s="55"/>
      <c r="O347" s="688">
        <f>SUM(O330:O346)</f>
        <v>91183.40000000001</v>
      </c>
    </row>
    <row r="348" spans="9:15" ht="12.75">
      <c r="I348" s="627" t="s">
        <v>882</v>
      </c>
      <c r="J348" s="652">
        <v>3017</v>
      </c>
      <c r="K348" s="700">
        <v>11048.5</v>
      </c>
      <c r="L348" s="699" t="s">
        <v>382</v>
      </c>
      <c r="M348" s="689" t="s">
        <v>695</v>
      </c>
      <c r="N348" s="355">
        <v>292</v>
      </c>
      <c r="O348" s="19">
        <v>24777.37</v>
      </c>
    </row>
    <row r="349" spans="9:15" ht="12.75">
      <c r="I349" s="694" t="s">
        <v>882</v>
      </c>
      <c r="J349" s="695">
        <v>3018</v>
      </c>
      <c r="K349" s="698">
        <v>1500</v>
      </c>
      <c r="L349" s="697" t="s">
        <v>239</v>
      </c>
      <c r="M349" s="344"/>
      <c r="N349" s="55"/>
      <c r="O349" s="397">
        <f>SUM(O347:O348)</f>
        <v>115960.77</v>
      </c>
    </row>
    <row r="350" spans="9:15" ht="12.75">
      <c r="I350" s="694" t="s">
        <v>882</v>
      </c>
      <c r="J350" s="695">
        <v>3019</v>
      </c>
      <c r="K350" s="698">
        <v>1800</v>
      </c>
      <c r="L350" s="697" t="s">
        <v>239</v>
      </c>
      <c r="M350" s="55"/>
      <c r="N350" s="350" t="s">
        <v>884</v>
      </c>
      <c r="O350" s="55">
        <v>173.94</v>
      </c>
    </row>
    <row r="351" spans="9:15" ht="12.75">
      <c r="I351" s="694" t="s">
        <v>882</v>
      </c>
      <c r="J351" s="695">
        <v>3020</v>
      </c>
      <c r="K351" s="698">
        <v>1800</v>
      </c>
      <c r="L351" s="697" t="s">
        <v>239</v>
      </c>
      <c r="M351" s="113"/>
      <c r="N351" s="55"/>
      <c r="O351" s="19">
        <v>120</v>
      </c>
    </row>
    <row r="352" spans="9:15" ht="12.75">
      <c r="I352" s="694" t="s">
        <v>882</v>
      </c>
      <c r="J352" s="695">
        <v>3021</v>
      </c>
      <c r="K352" s="698">
        <v>1500</v>
      </c>
      <c r="L352" s="697" t="s">
        <v>239</v>
      </c>
      <c r="M352" s="55"/>
      <c r="N352" s="55"/>
      <c r="O352" s="344">
        <f>SUM(O349:O351)</f>
        <v>116254.71</v>
      </c>
    </row>
    <row r="353" spans="9:15" ht="12.75">
      <c r="I353" s="694" t="s">
        <v>882</v>
      </c>
      <c r="J353" s="695">
        <v>3022</v>
      </c>
      <c r="K353" s="698">
        <v>9000</v>
      </c>
      <c r="L353" s="705">
        <v>231</v>
      </c>
      <c r="M353" s="55"/>
      <c r="N353" s="55"/>
      <c r="O353" s="55"/>
    </row>
    <row r="354" spans="9:15" ht="12.75">
      <c r="I354" s="652"/>
      <c r="J354" s="699">
        <v>3023</v>
      </c>
      <c r="K354" s="700">
        <v>581.5</v>
      </c>
      <c r="L354" s="699" t="s">
        <v>312</v>
      </c>
      <c r="M354" s="55"/>
      <c r="N354" s="55"/>
      <c r="O354" s="55"/>
    </row>
    <row r="355" spans="9:15" ht="12.75">
      <c r="I355" s="694" t="s">
        <v>520</v>
      </c>
      <c r="J355" s="706"/>
      <c r="K355" s="707">
        <v>24777.37</v>
      </c>
      <c r="L355" s="708">
        <v>292</v>
      </c>
      <c r="M355" s="55"/>
      <c r="N355" s="55"/>
      <c r="O355" s="55"/>
    </row>
    <row r="356" spans="9:15" ht="12.75">
      <c r="I356" s="694"/>
      <c r="J356" s="652">
        <v>3024</v>
      </c>
      <c r="K356" s="698">
        <v>4102.48</v>
      </c>
      <c r="L356" s="709">
        <v>215</v>
      </c>
      <c r="M356" s="55"/>
      <c r="N356" s="55"/>
      <c r="O356" s="55"/>
    </row>
    <row r="357" spans="9:15" ht="12.75">
      <c r="I357" s="694"/>
      <c r="J357" s="706">
        <v>3025</v>
      </c>
      <c r="K357" s="707">
        <v>0</v>
      </c>
      <c r="L357" s="55"/>
      <c r="M357" s="55"/>
      <c r="N357" s="55"/>
      <c r="O357" s="55"/>
    </row>
    <row r="358" spans="9:15" ht="12.75">
      <c r="I358" s="55"/>
      <c r="J358" s="706">
        <v>3026</v>
      </c>
      <c r="K358" s="710">
        <v>19433.94</v>
      </c>
      <c r="L358" s="711" t="s">
        <v>492</v>
      </c>
      <c r="M358" s="344"/>
      <c r="N358" s="55"/>
      <c r="O358" s="55"/>
    </row>
    <row r="359" spans="9:15" ht="12.75">
      <c r="I359" s="55"/>
      <c r="J359" s="695">
        <v>3027</v>
      </c>
      <c r="K359" s="698">
        <v>1800</v>
      </c>
      <c r="L359" s="705">
        <v>231</v>
      </c>
      <c r="M359" s="55"/>
      <c r="N359" s="55"/>
      <c r="O359" s="55"/>
    </row>
    <row r="360" spans="9:15" ht="12.75">
      <c r="I360" s="55"/>
      <c r="J360" s="695">
        <v>3028</v>
      </c>
      <c r="K360" s="698">
        <v>1500</v>
      </c>
      <c r="L360" s="705">
        <v>231</v>
      </c>
      <c r="M360" s="344"/>
      <c r="N360" s="55"/>
      <c r="O360" s="55"/>
    </row>
    <row r="361" spans="9:15" ht="12.75">
      <c r="I361" s="55"/>
      <c r="J361" s="55"/>
      <c r="K361" s="344">
        <f>SUM(K329:K360)</f>
        <v>115960.77</v>
      </c>
      <c r="L361" s="55"/>
      <c r="M361" s="55"/>
      <c r="N361" s="55"/>
      <c r="O361" s="55"/>
    </row>
    <row r="362" spans="9:15" ht="12.75">
      <c r="I362" s="55"/>
      <c r="J362" s="55" t="s">
        <v>885</v>
      </c>
      <c r="K362" s="710">
        <f>173.94+120</f>
        <v>293.94</v>
      </c>
      <c r="L362" s="55"/>
      <c r="M362" s="55"/>
      <c r="N362" s="55"/>
      <c r="O362" s="55"/>
    </row>
    <row r="363" spans="9:15" ht="12.75">
      <c r="I363" s="55"/>
      <c r="J363" s="55"/>
      <c r="K363" s="113">
        <f>SUM(K361:K362)</f>
        <v>116254.71</v>
      </c>
      <c r="L363" s="55"/>
      <c r="M363" s="55"/>
      <c r="N363" s="55"/>
      <c r="O363" s="55"/>
    </row>
    <row r="364" spans="2:5" ht="12.75">
      <c r="B364" s="751" t="s">
        <v>639</v>
      </c>
      <c r="C364" s="751"/>
      <c r="D364" s="751"/>
      <c r="E364" s="751"/>
    </row>
    <row r="365" spans="2:5" ht="12.75">
      <c r="B365" s="749">
        <v>43344</v>
      </c>
      <c r="C365" s="750"/>
      <c r="D365" s="750"/>
      <c r="E365" s="750"/>
    </row>
    <row r="367" spans="2:7" ht="12.75">
      <c r="B367" s="352" t="s">
        <v>620</v>
      </c>
      <c r="C367" s="352" t="s">
        <v>621</v>
      </c>
      <c r="D367" s="352" t="s">
        <v>402</v>
      </c>
      <c r="E367" s="352"/>
      <c r="F367" s="55"/>
      <c r="G367" s="55"/>
    </row>
    <row r="368" spans="2:7" ht="12.75">
      <c r="B368" s="55"/>
      <c r="C368" s="10"/>
      <c r="D368" s="350"/>
      <c r="E368" s="55"/>
      <c r="F368" s="55"/>
      <c r="G368" s="55"/>
    </row>
    <row r="369" spans="2:7" ht="12.75">
      <c r="B369" s="16"/>
      <c r="C369" s="423"/>
      <c r="D369" s="681"/>
      <c r="E369" s="748" t="s">
        <v>603</v>
      </c>
      <c r="F369" s="748"/>
      <c r="G369" s="748"/>
    </row>
    <row r="370" spans="2:7" ht="12.75">
      <c r="B370" s="55"/>
      <c r="C370" s="55"/>
      <c r="D370" s="55"/>
      <c r="E370" s="504" t="s">
        <v>41</v>
      </c>
      <c r="F370" s="504" t="s">
        <v>402</v>
      </c>
      <c r="G370" s="504" t="s">
        <v>621</v>
      </c>
    </row>
    <row r="371" spans="2:7" ht="12.75">
      <c r="B371" s="387">
        <v>3007</v>
      </c>
      <c r="C371" s="15">
        <v>1500</v>
      </c>
      <c r="D371" s="682" t="s">
        <v>239</v>
      </c>
      <c r="E371" s="310" t="s">
        <v>623</v>
      </c>
      <c r="F371" s="683" t="s">
        <v>239</v>
      </c>
      <c r="G371" s="19">
        <f>C371+C373+C374+C375+C376+C377+C378+C379+C384+C385+C386+C387+C388+C389+C390+C391+C392+C393+C394+C395+C396+C397+C398+C399</f>
        <v>92950</v>
      </c>
    </row>
    <row r="372" spans="2:13" ht="12.75">
      <c r="B372" s="387">
        <v>3057</v>
      </c>
      <c r="C372" s="10">
        <v>511.4</v>
      </c>
      <c r="D372" s="684" t="s">
        <v>312</v>
      </c>
      <c r="E372" s="310" t="s">
        <v>686</v>
      </c>
      <c r="F372" s="683" t="s">
        <v>280</v>
      </c>
      <c r="G372" s="19">
        <v>0</v>
      </c>
      <c r="J372" s="751" t="s">
        <v>639</v>
      </c>
      <c r="K372" s="751"/>
      <c r="L372" s="751"/>
      <c r="M372" s="751"/>
    </row>
    <row r="373" spans="2:13" ht="12.75">
      <c r="B373" s="387">
        <v>3060</v>
      </c>
      <c r="C373" s="10">
        <v>1250</v>
      </c>
      <c r="D373" s="684">
        <v>231</v>
      </c>
      <c r="E373" s="310" t="s">
        <v>687</v>
      </c>
      <c r="F373" s="350" t="s">
        <v>378</v>
      </c>
      <c r="G373" s="19">
        <f>C380</f>
        <v>15000</v>
      </c>
      <c r="I373" s="361"/>
      <c r="J373" s="749">
        <v>43313</v>
      </c>
      <c r="K373" s="750"/>
      <c r="L373" s="750"/>
      <c r="M373" s="750"/>
    </row>
    <row r="374" spans="2:9" ht="12.75">
      <c r="B374" s="387">
        <v>3061</v>
      </c>
      <c r="C374" s="10">
        <v>1250</v>
      </c>
      <c r="D374" s="685">
        <v>231</v>
      </c>
      <c r="E374" s="310" t="s">
        <v>625</v>
      </c>
      <c r="F374" s="683" t="s">
        <v>258</v>
      </c>
      <c r="G374" s="19">
        <v>0</v>
      </c>
      <c r="I374" s="12"/>
    </row>
    <row r="375" spans="2:15" ht="12.75">
      <c r="B375" s="387">
        <v>3067</v>
      </c>
      <c r="C375" s="15">
        <v>29150</v>
      </c>
      <c r="D375" s="685">
        <v>231</v>
      </c>
      <c r="E375" s="310" t="s">
        <v>634</v>
      </c>
      <c r="F375" s="683" t="s">
        <v>272</v>
      </c>
      <c r="G375" s="19">
        <v>0</v>
      </c>
      <c r="I375" s="361"/>
      <c r="J375" s="352" t="s">
        <v>620</v>
      </c>
      <c r="K375" s="352" t="s">
        <v>621</v>
      </c>
      <c r="L375" s="352" t="s">
        <v>402</v>
      </c>
      <c r="M375" s="352"/>
      <c r="N375" s="55"/>
      <c r="O375" s="55"/>
    </row>
    <row r="376" spans="2:15" ht="12.75">
      <c r="B376" s="387">
        <v>3068</v>
      </c>
      <c r="C376" s="15">
        <v>8450</v>
      </c>
      <c r="D376" s="685">
        <v>231</v>
      </c>
      <c r="E376" s="310" t="s">
        <v>899</v>
      </c>
      <c r="F376" s="350" t="s">
        <v>492</v>
      </c>
      <c r="G376" s="113">
        <v>0</v>
      </c>
      <c r="I376" s="349"/>
      <c r="J376" s="55"/>
      <c r="K376" s="10"/>
      <c r="L376" s="350"/>
      <c r="M376" s="55"/>
      <c r="N376" s="55"/>
      <c r="O376" s="55"/>
    </row>
    <row r="377" spans="2:15" ht="12.75">
      <c r="B377" s="387">
        <v>3069</v>
      </c>
      <c r="C377" s="15">
        <v>3250</v>
      </c>
      <c r="D377" s="682">
        <v>231</v>
      </c>
      <c r="E377" s="310" t="s">
        <v>883</v>
      </c>
      <c r="F377" s="686">
        <v>215</v>
      </c>
      <c r="G377" s="344">
        <f>C383</f>
        <v>4210.09</v>
      </c>
      <c r="I377" s="349"/>
      <c r="J377" s="16"/>
      <c r="K377" s="423"/>
      <c r="L377" s="681"/>
      <c r="M377" s="748" t="s">
        <v>603</v>
      </c>
      <c r="N377" s="748"/>
      <c r="O377" s="748"/>
    </row>
    <row r="378" spans="2:15" ht="12.75">
      <c r="B378" s="387">
        <v>3070</v>
      </c>
      <c r="C378" s="15">
        <v>3250</v>
      </c>
      <c r="D378" s="682">
        <v>231</v>
      </c>
      <c r="E378" s="310" t="s">
        <v>688</v>
      </c>
      <c r="F378" s="683" t="s">
        <v>672</v>
      </c>
      <c r="G378" s="19">
        <v>0</v>
      </c>
      <c r="I378" s="349"/>
      <c r="J378" s="55"/>
      <c r="K378" s="55"/>
      <c r="L378" s="55"/>
      <c r="M378" s="504" t="s">
        <v>41</v>
      </c>
      <c r="N378" s="504" t="s">
        <v>402</v>
      </c>
      <c r="O378" s="504" t="s">
        <v>621</v>
      </c>
    </row>
    <row r="379" spans="2:15" ht="12.75">
      <c r="B379" s="387">
        <v>3071</v>
      </c>
      <c r="C379" s="15">
        <v>3250</v>
      </c>
      <c r="D379" s="691">
        <v>231</v>
      </c>
      <c r="E379" s="310" t="s">
        <v>689</v>
      </c>
      <c r="F379" s="350" t="s">
        <v>274</v>
      </c>
      <c r="G379" s="19">
        <v>0</v>
      </c>
      <c r="I379" s="349"/>
      <c r="J379" s="387">
        <v>3007</v>
      </c>
      <c r="K379" s="15">
        <v>1500</v>
      </c>
      <c r="L379" s="682" t="s">
        <v>239</v>
      </c>
      <c r="M379" s="310" t="s">
        <v>623</v>
      </c>
      <c r="N379" s="683" t="s">
        <v>239</v>
      </c>
      <c r="O379" s="19">
        <f>K379+K384+K385+K386+K387+K395+K396+K397+K398+K399+K400+K401+K402+K403+K404+K405+K406+K407</f>
        <v>42200</v>
      </c>
    </row>
    <row r="380" spans="2:15" ht="12.75">
      <c r="B380" s="387">
        <v>3072</v>
      </c>
      <c r="C380" s="10">
        <v>15000</v>
      </c>
      <c r="D380" s="684" t="s">
        <v>378</v>
      </c>
      <c r="E380" s="310" t="s">
        <v>690</v>
      </c>
      <c r="F380" s="350" t="s">
        <v>382</v>
      </c>
      <c r="G380" s="19">
        <f>C381</f>
        <v>12502</v>
      </c>
      <c r="I380" s="349"/>
      <c r="J380" s="387">
        <v>3031</v>
      </c>
      <c r="K380" s="15">
        <v>3000</v>
      </c>
      <c r="L380" s="682">
        <v>244</v>
      </c>
      <c r="M380" s="310" t="s">
        <v>686</v>
      </c>
      <c r="N380" s="683" t="s">
        <v>280</v>
      </c>
      <c r="O380" s="19">
        <v>0</v>
      </c>
    </row>
    <row r="381" spans="2:15" ht="12.75">
      <c r="B381" s="387">
        <v>3073</v>
      </c>
      <c r="C381" s="10">
        <v>12502</v>
      </c>
      <c r="D381" s="684" t="s">
        <v>382</v>
      </c>
      <c r="E381" s="310" t="s">
        <v>691</v>
      </c>
      <c r="F381" s="350" t="s">
        <v>384</v>
      </c>
      <c r="G381" s="19">
        <v>0</v>
      </c>
      <c r="I381" s="349"/>
      <c r="J381" s="387">
        <v>3031</v>
      </c>
      <c r="K381" s="15">
        <v>14345.22</v>
      </c>
      <c r="L381" s="684" t="s">
        <v>263</v>
      </c>
      <c r="M381" s="310" t="s">
        <v>687</v>
      </c>
      <c r="N381" s="350" t="s">
        <v>378</v>
      </c>
      <c r="O381" s="19">
        <f>K389</f>
        <v>3300.03</v>
      </c>
    </row>
    <row r="382" spans="2:15" ht="12.75">
      <c r="B382" s="387">
        <v>3074</v>
      </c>
      <c r="C382" s="10">
        <v>4394</v>
      </c>
      <c r="D382" s="684" t="s">
        <v>312</v>
      </c>
      <c r="E382" s="310" t="s">
        <v>692</v>
      </c>
      <c r="F382" s="350" t="s">
        <v>573</v>
      </c>
      <c r="G382" s="19">
        <v>0</v>
      </c>
      <c r="I382" s="349"/>
      <c r="J382" s="387">
        <v>3031</v>
      </c>
      <c r="K382" s="15">
        <v>39</v>
      </c>
      <c r="L382" s="685">
        <v>355</v>
      </c>
      <c r="M382" s="310" t="s">
        <v>625</v>
      </c>
      <c r="N382" s="683" t="s">
        <v>258</v>
      </c>
      <c r="O382" s="19">
        <f>K380</f>
        <v>3000</v>
      </c>
    </row>
    <row r="383" spans="2:15" ht="12.75">
      <c r="B383" s="387">
        <v>3075</v>
      </c>
      <c r="C383" s="15">
        <v>4210.09</v>
      </c>
      <c r="D383" s="685">
        <v>215</v>
      </c>
      <c r="E383" s="310" t="s">
        <v>693</v>
      </c>
      <c r="F383" s="687">
        <v>399</v>
      </c>
      <c r="G383" s="10">
        <v>0</v>
      </c>
      <c r="H383" s="521"/>
      <c r="I383" s="349"/>
      <c r="J383" s="387">
        <v>3032</v>
      </c>
      <c r="K383" s="15">
        <v>1025.56</v>
      </c>
      <c r="L383" s="685" t="s">
        <v>312</v>
      </c>
      <c r="M383" s="310" t="s">
        <v>634</v>
      </c>
      <c r="N383" s="683" t="s">
        <v>272</v>
      </c>
      <c r="O383" s="19">
        <f>K382</f>
        <v>39</v>
      </c>
    </row>
    <row r="384" spans="2:15" ht="12.75">
      <c r="B384" s="387">
        <v>3076</v>
      </c>
      <c r="C384" s="15">
        <v>6500</v>
      </c>
      <c r="D384" s="682" t="s">
        <v>263</v>
      </c>
      <c r="E384" s="310" t="s">
        <v>627</v>
      </c>
      <c r="F384" s="350" t="s">
        <v>263</v>
      </c>
      <c r="G384" s="344">
        <v>0</v>
      </c>
      <c r="H384" s="12"/>
      <c r="I384" s="349"/>
      <c r="J384" s="387">
        <v>3033</v>
      </c>
      <c r="K384" s="15">
        <v>3900</v>
      </c>
      <c r="L384" s="685">
        <v>231</v>
      </c>
      <c r="M384" s="310" t="s">
        <v>899</v>
      </c>
      <c r="N384" s="350" t="s">
        <v>492</v>
      </c>
      <c r="O384" s="113">
        <f>K388+K408</f>
        <v>15005.3</v>
      </c>
    </row>
    <row r="385" spans="2:15" ht="12.75">
      <c r="B385" s="387">
        <v>3077</v>
      </c>
      <c r="C385" s="10">
        <v>2500</v>
      </c>
      <c r="D385" s="684" t="s">
        <v>573</v>
      </c>
      <c r="E385" s="310" t="s">
        <v>684</v>
      </c>
      <c r="F385" s="350" t="s">
        <v>312</v>
      </c>
      <c r="G385" s="344">
        <f>C372+C382</f>
        <v>4905.4</v>
      </c>
      <c r="H385" s="12"/>
      <c r="I385" s="349"/>
      <c r="J385" s="387">
        <v>3034</v>
      </c>
      <c r="K385" s="15">
        <v>1500</v>
      </c>
      <c r="L385" s="682">
        <v>231</v>
      </c>
      <c r="M385" s="55"/>
      <c r="N385" s="350"/>
      <c r="O385" s="55"/>
    </row>
    <row r="386" spans="2:15" ht="12.75">
      <c r="B386" s="387">
        <v>3078</v>
      </c>
      <c r="C386" s="10">
        <v>2500</v>
      </c>
      <c r="D386" s="55">
        <v>231</v>
      </c>
      <c r="E386" s="55"/>
      <c r="F386" s="55"/>
      <c r="G386" s="55"/>
      <c r="H386" s="12"/>
      <c r="I386" s="361"/>
      <c r="J386" s="387">
        <v>3035</v>
      </c>
      <c r="K386" s="15">
        <v>1500</v>
      </c>
      <c r="L386" s="682">
        <v>231</v>
      </c>
      <c r="M386" s="310" t="s">
        <v>688</v>
      </c>
      <c r="N386" s="683" t="s">
        <v>672</v>
      </c>
      <c r="O386" s="19">
        <v>0</v>
      </c>
    </row>
    <row r="387" spans="2:15" ht="12.75">
      <c r="B387" s="387">
        <v>3079</v>
      </c>
      <c r="C387" s="10">
        <v>2500</v>
      </c>
      <c r="D387" s="350">
        <v>231</v>
      </c>
      <c r="E387" s="55"/>
      <c r="F387" s="55"/>
      <c r="G387" s="688">
        <f>SUM(G371:G385)</f>
        <v>129567.48999999999</v>
      </c>
      <c r="H387" s="12"/>
      <c r="I387" s="523">
        <f>K394+K393+K392+K391+K390+K389+K388</f>
        <v>16610.190000000002</v>
      </c>
      <c r="J387" s="387">
        <v>3036</v>
      </c>
      <c r="K387" s="15">
        <v>1500</v>
      </c>
      <c r="L387" s="691">
        <v>231</v>
      </c>
      <c r="M387" s="310" t="s">
        <v>689</v>
      </c>
      <c r="N387" s="350" t="s">
        <v>274</v>
      </c>
      <c r="O387" s="19">
        <v>0</v>
      </c>
    </row>
    <row r="388" spans="2:15" ht="12.75">
      <c r="B388" s="387">
        <v>3080</v>
      </c>
      <c r="C388" s="15">
        <v>6500</v>
      </c>
      <c r="D388" s="387">
        <v>231</v>
      </c>
      <c r="E388" s="689" t="s">
        <v>895</v>
      </c>
      <c r="F388" s="355">
        <v>292</v>
      </c>
      <c r="G388" s="19">
        <v>0</v>
      </c>
      <c r="H388" s="12"/>
      <c r="I388" s="361"/>
      <c r="J388" s="387">
        <v>3037</v>
      </c>
      <c r="K388" s="10">
        <v>4000</v>
      </c>
      <c r="L388" s="685" t="s">
        <v>492</v>
      </c>
      <c r="M388" s="310" t="s">
        <v>690</v>
      </c>
      <c r="N388" s="350" t="s">
        <v>382</v>
      </c>
      <c r="O388" s="19">
        <v>0</v>
      </c>
    </row>
    <row r="389" spans="2:15" ht="12.75">
      <c r="B389" s="387">
        <v>3081</v>
      </c>
      <c r="C389" s="15">
        <v>2500</v>
      </c>
      <c r="D389" s="350">
        <v>231</v>
      </c>
      <c r="E389" s="344"/>
      <c r="F389" s="55"/>
      <c r="G389" s="397">
        <f>SUM(G387:G388)</f>
        <v>129567.48999999999</v>
      </c>
      <c r="H389" s="12"/>
      <c r="I389" s="361"/>
      <c r="J389" s="387">
        <v>3037</v>
      </c>
      <c r="K389" s="10">
        <v>3300.03</v>
      </c>
      <c r="L389" s="684" t="s">
        <v>378</v>
      </c>
      <c r="M389" s="310" t="s">
        <v>691</v>
      </c>
      <c r="N389" s="350" t="s">
        <v>384</v>
      </c>
      <c r="O389" s="19">
        <f>K390+K391</f>
        <v>6700</v>
      </c>
    </row>
    <row r="390" spans="2:15" ht="12.75">
      <c r="B390" s="387">
        <v>3082</v>
      </c>
      <c r="C390" s="15">
        <v>2500</v>
      </c>
      <c r="D390" s="350">
        <v>231</v>
      </c>
      <c r="E390" s="55"/>
      <c r="F390" s="350" t="s">
        <v>884</v>
      </c>
      <c r="G390" s="55">
        <v>0</v>
      </c>
      <c r="H390" s="12"/>
      <c r="I390" s="361"/>
      <c r="J390" s="387">
        <v>3037</v>
      </c>
      <c r="K390" s="10">
        <v>5350</v>
      </c>
      <c r="L390" s="684" t="s">
        <v>384</v>
      </c>
      <c r="M390" s="310" t="s">
        <v>692</v>
      </c>
      <c r="N390" s="350" t="s">
        <v>573</v>
      </c>
      <c r="O390" s="19">
        <v>0</v>
      </c>
    </row>
    <row r="391" spans="2:15" ht="12.75">
      <c r="B391" s="387">
        <v>3083</v>
      </c>
      <c r="C391" s="10">
        <v>2500</v>
      </c>
      <c r="D391" s="350">
        <v>231</v>
      </c>
      <c r="E391" s="113"/>
      <c r="F391" s="55"/>
      <c r="G391" s="19">
        <v>0</v>
      </c>
      <c r="H391" s="12"/>
      <c r="I391" s="12"/>
      <c r="J391" s="387">
        <v>3037</v>
      </c>
      <c r="K391" s="15">
        <v>1350</v>
      </c>
      <c r="L391" s="685" t="s">
        <v>276</v>
      </c>
      <c r="M391" s="310" t="s">
        <v>693</v>
      </c>
      <c r="N391" s="687">
        <v>399</v>
      </c>
      <c r="O391" s="10">
        <f>K392+K393+K394</f>
        <v>2610.1600000000003</v>
      </c>
    </row>
    <row r="392" spans="2:16" ht="12.75">
      <c r="B392" s="387">
        <v>3084</v>
      </c>
      <c r="C392" s="10">
        <v>3500</v>
      </c>
      <c r="D392" s="350">
        <v>231</v>
      </c>
      <c r="E392" s="55"/>
      <c r="F392" s="55"/>
      <c r="G392" s="344">
        <f>SUM(G389:G391)</f>
        <v>129567.48999999999</v>
      </c>
      <c r="H392" s="12"/>
      <c r="I392" s="361"/>
      <c r="J392" s="387">
        <v>3037</v>
      </c>
      <c r="K392" s="15">
        <v>2565.15</v>
      </c>
      <c r="L392" s="692">
        <v>398</v>
      </c>
      <c r="M392" s="310" t="s">
        <v>627</v>
      </c>
      <c r="N392" s="350" t="s">
        <v>263</v>
      </c>
      <c r="O392" s="344">
        <f>K381</f>
        <v>14345.22</v>
      </c>
      <c r="P392" s="118">
        <f>O395-L410</f>
        <v>0</v>
      </c>
    </row>
    <row r="393" spans="2:15" ht="12.75">
      <c r="B393" s="387">
        <v>3085</v>
      </c>
      <c r="C393" s="15">
        <v>1500</v>
      </c>
      <c r="D393" s="685">
        <v>231</v>
      </c>
      <c r="E393" s="55"/>
      <c r="F393" s="55"/>
      <c r="G393" s="55"/>
      <c r="H393" s="12"/>
      <c r="I393" s="12"/>
      <c r="J393" s="387">
        <v>3037</v>
      </c>
      <c r="K393" s="10">
        <v>45.01</v>
      </c>
      <c r="L393" s="350">
        <v>399</v>
      </c>
      <c r="M393" s="310" t="s">
        <v>684</v>
      </c>
      <c r="N393" s="350" t="s">
        <v>312</v>
      </c>
      <c r="O393" s="344">
        <f>K383</f>
        <v>1025.56</v>
      </c>
    </row>
    <row r="394" spans="2:15" ht="12.75">
      <c r="B394" s="387">
        <v>3086</v>
      </c>
      <c r="C394" s="15">
        <v>1500</v>
      </c>
      <c r="D394" s="387">
        <v>231</v>
      </c>
      <c r="E394" s="681"/>
      <c r="F394" s="55"/>
      <c r="G394" s="55"/>
      <c r="H394" s="12"/>
      <c r="I394" s="361"/>
      <c r="J394" s="387">
        <v>3037</v>
      </c>
      <c r="K394" s="10">
        <v>0</v>
      </c>
      <c r="L394" s="350">
        <v>399</v>
      </c>
      <c r="M394" s="55"/>
      <c r="N394" s="55"/>
      <c r="O394" s="55"/>
    </row>
    <row r="395" spans="2:15" ht="12.75">
      <c r="B395" s="387">
        <v>3087</v>
      </c>
      <c r="C395" s="15">
        <v>1500</v>
      </c>
      <c r="D395" s="350">
        <v>231</v>
      </c>
      <c r="E395" s="681"/>
      <c r="F395" s="55"/>
      <c r="G395" s="55"/>
      <c r="H395" s="12"/>
      <c r="I395" s="361"/>
      <c r="J395" s="387">
        <v>3038</v>
      </c>
      <c r="K395" s="10">
        <v>4550</v>
      </c>
      <c r="L395" s="350">
        <v>231</v>
      </c>
      <c r="M395" s="55"/>
      <c r="N395" s="55"/>
      <c r="O395" s="688">
        <f>SUM(O379:O393)</f>
        <v>88225.27</v>
      </c>
    </row>
    <row r="396" spans="2:15" ht="12.75">
      <c r="B396" s="387">
        <v>3088</v>
      </c>
      <c r="C396" s="15">
        <v>2600</v>
      </c>
      <c r="D396" s="350">
        <v>231</v>
      </c>
      <c r="E396" s="16"/>
      <c r="F396" s="55"/>
      <c r="G396" s="55"/>
      <c r="H396" s="12"/>
      <c r="I396" s="361"/>
      <c r="J396" s="387">
        <v>3039</v>
      </c>
      <c r="K396" s="15">
        <v>1750</v>
      </c>
      <c r="L396" s="387">
        <v>231</v>
      </c>
      <c r="M396" s="689" t="s">
        <v>895</v>
      </c>
      <c r="N396" s="355">
        <v>292</v>
      </c>
      <c r="O396" s="19">
        <f>2.25+2.7+18.15+13.05+2.25+26.08+295</f>
        <v>359.48</v>
      </c>
    </row>
    <row r="397" spans="2:15" ht="12.75">
      <c r="B397" s="387">
        <v>3089</v>
      </c>
      <c r="C397" s="15">
        <v>1000</v>
      </c>
      <c r="D397" s="350">
        <v>231</v>
      </c>
      <c r="E397" s="55"/>
      <c r="F397" s="55"/>
      <c r="G397" s="55"/>
      <c r="H397" s="12"/>
      <c r="I397" s="12"/>
      <c r="J397" s="387">
        <v>3040</v>
      </c>
      <c r="K397" s="10">
        <v>1750</v>
      </c>
      <c r="L397" s="350">
        <v>231</v>
      </c>
      <c r="M397" s="344"/>
      <c r="N397" s="55"/>
      <c r="O397" s="397">
        <f>SUM(O395:O396)</f>
        <v>88584.75</v>
      </c>
    </row>
    <row r="398" spans="2:15" ht="12.75">
      <c r="B398" s="387">
        <v>3090</v>
      </c>
      <c r="C398" s="15">
        <v>1000</v>
      </c>
      <c r="D398" s="350">
        <v>231</v>
      </c>
      <c r="E398" s="55"/>
      <c r="F398" s="55"/>
      <c r="G398" s="55"/>
      <c r="H398" s="12"/>
      <c r="I398" s="12"/>
      <c r="J398" s="387">
        <v>3041</v>
      </c>
      <c r="K398" s="10">
        <v>1750</v>
      </c>
      <c r="L398" s="350">
        <v>231</v>
      </c>
      <c r="M398" s="55"/>
      <c r="N398" s="350" t="s">
        <v>884</v>
      </c>
      <c r="O398" s="55">
        <v>0</v>
      </c>
    </row>
    <row r="399" spans="2:15" ht="12.75">
      <c r="B399" s="387">
        <v>3091</v>
      </c>
      <c r="C399" s="15">
        <v>1000</v>
      </c>
      <c r="D399" s="350">
        <v>231</v>
      </c>
      <c r="E399" s="55"/>
      <c r="F399" s="55"/>
      <c r="G399" s="55"/>
      <c r="H399" s="12"/>
      <c r="I399" s="12"/>
      <c r="J399" s="387">
        <v>3042</v>
      </c>
      <c r="K399" s="10">
        <v>6500</v>
      </c>
      <c r="L399" s="350">
        <v>231</v>
      </c>
      <c r="M399" s="113"/>
      <c r="N399" s="55"/>
      <c r="O399" s="19">
        <v>0</v>
      </c>
    </row>
    <row r="400" spans="2:15" ht="15">
      <c r="B400" s="55"/>
      <c r="C400" s="55"/>
      <c r="D400" s="684" t="s">
        <v>492</v>
      </c>
      <c r="E400" s="690"/>
      <c r="F400" s="55"/>
      <c r="G400" s="55"/>
      <c r="I400" s="12"/>
      <c r="J400" s="387">
        <v>3043</v>
      </c>
      <c r="K400" s="10">
        <v>2500</v>
      </c>
      <c r="L400" s="350">
        <v>231</v>
      </c>
      <c r="M400" s="55"/>
      <c r="N400" s="55"/>
      <c r="O400" s="344">
        <f>SUM(O397:O399)</f>
        <v>88584.75</v>
      </c>
    </row>
    <row r="401" spans="2:15" ht="12.75">
      <c r="B401" s="55"/>
      <c r="C401" s="16" t="s">
        <v>885</v>
      </c>
      <c r="D401" s="55"/>
      <c r="E401" s="113">
        <f>SUM(C371:C399)</f>
        <v>129567.48999999999</v>
      </c>
      <c r="F401" s="55"/>
      <c r="G401" s="55"/>
      <c r="I401" s="12"/>
      <c r="J401" s="387">
        <v>3044</v>
      </c>
      <c r="K401" s="15">
        <v>2500</v>
      </c>
      <c r="L401" s="685">
        <v>231</v>
      </c>
      <c r="M401" s="55"/>
      <c r="N401" s="55"/>
      <c r="O401" s="55"/>
    </row>
    <row r="402" spans="2:15" ht="12.75">
      <c r="B402" s="55"/>
      <c r="C402" s="55"/>
      <c r="D402" s="55"/>
      <c r="E402" s="55"/>
      <c r="F402" s="55"/>
      <c r="G402" s="55"/>
      <c r="I402" s="12"/>
      <c r="J402" s="387">
        <v>3045</v>
      </c>
      <c r="K402" s="15">
        <v>2500</v>
      </c>
      <c r="L402" s="387">
        <v>231</v>
      </c>
      <c r="M402" s="681"/>
      <c r="N402" s="55"/>
      <c r="O402" s="55"/>
    </row>
    <row r="403" spans="2:15" ht="12.75">
      <c r="B403" s="114"/>
      <c r="C403" s="114"/>
      <c r="D403" s="114"/>
      <c r="E403" s="114"/>
      <c r="F403" s="114"/>
      <c r="G403" s="114"/>
      <c r="J403" s="387">
        <v>3046</v>
      </c>
      <c r="K403" s="15">
        <v>3250</v>
      </c>
      <c r="L403" s="350">
        <v>231</v>
      </c>
      <c r="M403" s="681"/>
      <c r="N403" s="55"/>
      <c r="O403" s="55"/>
    </row>
    <row r="404" spans="2:15" ht="12.75">
      <c r="B404" s="114"/>
      <c r="C404" s="114"/>
      <c r="D404" s="114"/>
      <c r="E404" s="114"/>
      <c r="F404" s="114"/>
      <c r="G404" s="114"/>
      <c r="J404" s="387">
        <v>3047</v>
      </c>
      <c r="K404" s="15">
        <v>1250</v>
      </c>
      <c r="L404" s="350">
        <v>231</v>
      </c>
      <c r="M404" s="16"/>
      <c r="N404" s="55"/>
      <c r="O404" s="55"/>
    </row>
    <row r="405" spans="2:15" ht="12.75">
      <c r="B405" s="114"/>
      <c r="C405" s="114"/>
      <c r="D405" s="114"/>
      <c r="E405" s="114"/>
      <c r="F405" s="114"/>
      <c r="G405" s="114"/>
      <c r="J405" s="387">
        <v>3048</v>
      </c>
      <c r="K405" s="15">
        <v>1250</v>
      </c>
      <c r="L405" s="350">
        <v>231</v>
      </c>
      <c r="M405" s="55"/>
      <c r="N405" s="55"/>
      <c r="O405" s="55"/>
    </row>
    <row r="406" spans="4:15" ht="12.75">
      <c r="D406" s="520">
        <v>0</v>
      </c>
      <c r="J406" s="387">
        <v>3049</v>
      </c>
      <c r="K406" s="15">
        <v>1250</v>
      </c>
      <c r="L406" s="350">
        <v>231</v>
      </c>
      <c r="M406" s="55"/>
      <c r="N406" s="55"/>
      <c r="O406" s="55"/>
    </row>
    <row r="407" spans="3:15" ht="12.75">
      <c r="C407" s="12"/>
      <c r="D407" s="522">
        <f>SUM(D402:D406)</f>
        <v>0</v>
      </c>
      <c r="J407" s="387">
        <v>3050</v>
      </c>
      <c r="K407" s="15">
        <v>1500</v>
      </c>
      <c r="L407" s="350">
        <v>231</v>
      </c>
      <c r="M407" s="55"/>
      <c r="N407" s="55"/>
      <c r="O407" s="55"/>
    </row>
    <row r="408" spans="10:15" ht="12.75">
      <c r="J408" s="387">
        <v>3051</v>
      </c>
      <c r="K408" s="15">
        <v>11005.3</v>
      </c>
      <c r="L408" s="684" t="s">
        <v>492</v>
      </c>
      <c r="M408" s="344">
        <f>K384:K408</f>
        <v>11005.3</v>
      </c>
      <c r="N408" s="55"/>
      <c r="O408" s="55"/>
    </row>
    <row r="409" spans="10:15" ht="12.75">
      <c r="J409" s="55"/>
      <c r="K409" s="55"/>
      <c r="L409" s="55"/>
      <c r="M409" s="55"/>
      <c r="N409" s="55"/>
      <c r="O409" s="55"/>
    </row>
    <row r="410" spans="10:15" ht="12.75">
      <c r="J410" s="55"/>
      <c r="K410" s="16"/>
      <c r="L410" s="587">
        <f>SUM(K376:K408)</f>
        <v>88225.27</v>
      </c>
      <c r="M410" s="55"/>
      <c r="N410" s="55"/>
      <c r="O410" s="55"/>
    </row>
    <row r="411" spans="2:15" ht="12.75">
      <c r="B411" s="751" t="s">
        <v>639</v>
      </c>
      <c r="C411" s="751"/>
      <c r="D411" s="751"/>
      <c r="E411" s="751"/>
      <c r="J411" s="55"/>
      <c r="K411" s="16" t="s">
        <v>885</v>
      </c>
      <c r="L411" s="693">
        <v>359.48</v>
      </c>
      <c r="M411" s="55"/>
      <c r="N411" s="55"/>
      <c r="O411" s="55"/>
    </row>
    <row r="412" spans="2:15" ht="12.75">
      <c r="B412" s="749">
        <v>43374</v>
      </c>
      <c r="C412" s="750"/>
      <c r="D412" s="750"/>
      <c r="E412" s="750"/>
      <c r="J412" s="55"/>
      <c r="K412" s="16"/>
      <c r="L412" s="89">
        <f>SUM(L410:L411)</f>
        <v>88584.75</v>
      </c>
      <c r="M412" s="55"/>
      <c r="N412" s="55"/>
      <c r="O412" s="55"/>
    </row>
    <row r="413" spans="10:15" ht="12.75">
      <c r="J413" s="55"/>
      <c r="K413" s="16"/>
      <c r="L413" s="693"/>
      <c r="M413" s="55"/>
      <c r="N413" s="55"/>
      <c r="O413" s="55"/>
    </row>
    <row r="414" spans="2:7" ht="12.75">
      <c r="B414" s="352" t="s">
        <v>620</v>
      </c>
      <c r="C414" s="352" t="s">
        <v>621</v>
      </c>
      <c r="D414" s="352" t="s">
        <v>402</v>
      </c>
      <c r="E414" s="352"/>
      <c r="F414" s="55"/>
      <c r="G414" s="55"/>
    </row>
    <row r="415" spans="2:7" ht="12.75">
      <c r="B415" s="55"/>
      <c r="C415" s="10"/>
      <c r="D415" s="350"/>
      <c r="E415" s="55"/>
      <c r="F415" s="55"/>
      <c r="G415" s="55"/>
    </row>
    <row r="416" spans="2:7" ht="12.75">
      <c r="B416" s="16"/>
      <c r="C416" s="423"/>
      <c r="D416" s="681"/>
      <c r="E416" s="748" t="s">
        <v>603</v>
      </c>
      <c r="F416" s="748"/>
      <c r="G416" s="748"/>
    </row>
    <row r="417" spans="2:7" ht="12.75">
      <c r="B417" s="55"/>
      <c r="C417" s="55"/>
      <c r="D417" s="55"/>
      <c r="E417" s="504" t="s">
        <v>41</v>
      </c>
      <c r="F417" s="504" t="s">
        <v>402</v>
      </c>
      <c r="G417" s="504" t="s">
        <v>621</v>
      </c>
    </row>
    <row r="418" spans="2:7" ht="12.75">
      <c r="B418" s="387">
        <v>3007</v>
      </c>
      <c r="C418" s="15">
        <v>1500</v>
      </c>
      <c r="D418" s="682" t="s">
        <v>239</v>
      </c>
      <c r="E418" s="310" t="s">
        <v>623</v>
      </c>
      <c r="F418" s="683" t="s">
        <v>239</v>
      </c>
      <c r="G418" s="19" t="e">
        <f>C418+#REF!+C420+#REF!+#REF!+#REF!+#REF!+#REF!+C423+C424+C425+C426+C427+C428+C429+C430+C431+C432+C433+C434+C435+C436+C437+C438</f>
        <v>#REF!</v>
      </c>
    </row>
    <row r="419" spans="2:7" ht="12.75">
      <c r="B419" s="387">
        <v>3057</v>
      </c>
      <c r="C419" s="10">
        <v>511.4</v>
      </c>
      <c r="D419" s="684" t="s">
        <v>312</v>
      </c>
      <c r="E419" s="310" t="s">
        <v>686</v>
      </c>
      <c r="F419" s="683" t="s">
        <v>280</v>
      </c>
      <c r="G419" s="19">
        <v>0</v>
      </c>
    </row>
    <row r="420" spans="2:7" ht="12.75">
      <c r="B420" s="387">
        <v>3061</v>
      </c>
      <c r="C420" s="10">
        <v>1250</v>
      </c>
      <c r="D420" s="685">
        <v>231</v>
      </c>
      <c r="E420" s="310" t="s">
        <v>687</v>
      </c>
      <c r="F420" s="350" t="s">
        <v>378</v>
      </c>
      <c r="G420" s="19" t="e">
        <f>#REF!</f>
        <v>#REF!</v>
      </c>
    </row>
    <row r="421" spans="2:7" ht="12.75">
      <c r="B421" s="387">
        <v>3074</v>
      </c>
      <c r="C421" s="10">
        <v>4394</v>
      </c>
      <c r="D421" s="684" t="s">
        <v>312</v>
      </c>
      <c r="E421" s="310" t="s">
        <v>625</v>
      </c>
      <c r="F421" s="683" t="s">
        <v>258</v>
      </c>
      <c r="G421" s="19">
        <v>0</v>
      </c>
    </row>
    <row r="422" spans="2:7" ht="12.75">
      <c r="B422" s="387">
        <v>3075</v>
      </c>
      <c r="C422" s="15">
        <v>4210.09</v>
      </c>
      <c r="D422" s="685">
        <v>215</v>
      </c>
      <c r="E422" s="310" t="s">
        <v>634</v>
      </c>
      <c r="F422" s="683" t="s">
        <v>272</v>
      </c>
      <c r="G422" s="19">
        <v>0</v>
      </c>
    </row>
    <row r="423" spans="2:7" ht="12.75">
      <c r="B423" s="387">
        <v>3076</v>
      </c>
      <c r="C423" s="15">
        <v>6500</v>
      </c>
      <c r="D423" s="682" t="s">
        <v>263</v>
      </c>
      <c r="E423" s="310" t="s">
        <v>899</v>
      </c>
      <c r="F423" s="350" t="s">
        <v>492</v>
      </c>
      <c r="G423" s="113">
        <v>0</v>
      </c>
    </row>
    <row r="424" spans="2:7" ht="12.75">
      <c r="B424" s="387">
        <v>3077</v>
      </c>
      <c r="C424" s="10">
        <v>2500</v>
      </c>
      <c r="D424" s="684" t="s">
        <v>573</v>
      </c>
      <c r="E424" s="310" t="s">
        <v>883</v>
      </c>
      <c r="F424" s="686">
        <v>215</v>
      </c>
      <c r="G424" s="344">
        <f>C422</f>
        <v>4210.09</v>
      </c>
    </row>
    <row r="425" spans="2:7" ht="12.75">
      <c r="B425" s="387">
        <v>3078</v>
      </c>
      <c r="C425" s="10">
        <v>2500</v>
      </c>
      <c r="D425" s="55">
        <v>231</v>
      </c>
      <c r="E425" s="310" t="s">
        <v>688</v>
      </c>
      <c r="F425" s="683" t="s">
        <v>672</v>
      </c>
      <c r="G425" s="19">
        <v>0</v>
      </c>
    </row>
    <row r="426" spans="2:7" ht="12.75">
      <c r="B426" s="387">
        <v>3079</v>
      </c>
      <c r="C426" s="10">
        <v>2500</v>
      </c>
      <c r="D426" s="350">
        <v>231</v>
      </c>
      <c r="E426" s="310" t="s">
        <v>689</v>
      </c>
      <c r="F426" s="350" t="s">
        <v>274</v>
      </c>
      <c r="G426" s="19">
        <v>0</v>
      </c>
    </row>
    <row r="427" spans="2:7" ht="12.75">
      <c r="B427" s="387">
        <v>3080</v>
      </c>
      <c r="C427" s="15">
        <v>6500</v>
      </c>
      <c r="D427" s="387">
        <v>231</v>
      </c>
      <c r="E427" s="310" t="s">
        <v>690</v>
      </c>
      <c r="F427" s="350" t="s">
        <v>382</v>
      </c>
      <c r="G427" s="19" t="e">
        <f>#REF!</f>
        <v>#REF!</v>
      </c>
    </row>
    <row r="428" spans="2:7" ht="12.75">
      <c r="B428" s="387">
        <v>3081</v>
      </c>
      <c r="C428" s="15">
        <v>2500</v>
      </c>
      <c r="D428" s="350">
        <v>231</v>
      </c>
      <c r="E428" s="310" t="s">
        <v>691</v>
      </c>
      <c r="F428" s="350" t="s">
        <v>384</v>
      </c>
      <c r="G428" s="19">
        <v>0</v>
      </c>
    </row>
    <row r="429" spans="2:7" ht="12.75">
      <c r="B429" s="387">
        <v>3082</v>
      </c>
      <c r="C429" s="15">
        <v>2500</v>
      </c>
      <c r="D429" s="350">
        <v>231</v>
      </c>
      <c r="E429" s="310" t="s">
        <v>692</v>
      </c>
      <c r="F429" s="350" t="s">
        <v>573</v>
      </c>
      <c r="G429" s="19">
        <v>0</v>
      </c>
    </row>
    <row r="430" spans="2:7" ht="12.75">
      <c r="B430" s="387">
        <v>3083</v>
      </c>
      <c r="C430" s="10">
        <v>2500</v>
      </c>
      <c r="D430" s="350">
        <v>231</v>
      </c>
      <c r="E430" s="310" t="s">
        <v>693</v>
      </c>
      <c r="F430" s="687">
        <v>399</v>
      </c>
      <c r="G430" s="10">
        <v>0</v>
      </c>
    </row>
    <row r="431" spans="2:7" ht="12.75">
      <c r="B431" s="387">
        <v>3084</v>
      </c>
      <c r="C431" s="10">
        <v>3500</v>
      </c>
      <c r="D431" s="350">
        <v>231</v>
      </c>
      <c r="E431" s="310" t="s">
        <v>627</v>
      </c>
      <c r="F431" s="350" t="s">
        <v>263</v>
      </c>
      <c r="G431" s="344">
        <v>0</v>
      </c>
    </row>
    <row r="432" spans="2:7" ht="12.75">
      <c r="B432" s="387">
        <v>3085</v>
      </c>
      <c r="C432" s="15">
        <v>1500</v>
      </c>
      <c r="D432" s="685">
        <v>231</v>
      </c>
      <c r="E432" s="310" t="s">
        <v>684</v>
      </c>
      <c r="F432" s="350" t="s">
        <v>312</v>
      </c>
      <c r="G432" s="344">
        <f>C419+C421</f>
        <v>4905.4</v>
      </c>
    </row>
    <row r="433" spans="2:7" ht="12.75">
      <c r="B433" s="387">
        <v>3086</v>
      </c>
      <c r="C433" s="15">
        <v>1500</v>
      </c>
      <c r="D433" s="387">
        <v>231</v>
      </c>
      <c r="E433" s="55"/>
      <c r="F433" s="55"/>
      <c r="G433" s="55"/>
    </row>
    <row r="434" spans="2:7" ht="12.75">
      <c r="B434" s="387">
        <v>3087</v>
      </c>
      <c r="C434" s="15">
        <v>1500</v>
      </c>
      <c r="D434" s="350">
        <v>231</v>
      </c>
      <c r="E434" s="55"/>
      <c r="F434" s="55"/>
      <c r="G434" s="688" t="e">
        <f>SUM(G418:G432)</f>
        <v>#REF!</v>
      </c>
    </row>
    <row r="435" spans="2:7" ht="12.75">
      <c r="B435" s="387">
        <v>3088</v>
      </c>
      <c r="C435" s="15">
        <v>2600</v>
      </c>
      <c r="D435" s="350">
        <v>231</v>
      </c>
      <c r="E435" s="689" t="s">
        <v>895</v>
      </c>
      <c r="F435" s="355">
        <v>292</v>
      </c>
      <c r="G435" s="19">
        <v>0</v>
      </c>
    </row>
    <row r="436" spans="2:7" ht="12.75">
      <c r="B436" s="387">
        <v>3089</v>
      </c>
      <c r="C436" s="15">
        <v>1000</v>
      </c>
      <c r="D436" s="350">
        <v>231</v>
      </c>
      <c r="E436" s="344"/>
      <c r="F436" s="55"/>
      <c r="G436" s="397" t="e">
        <f>SUM(G434:G435)</f>
        <v>#REF!</v>
      </c>
    </row>
    <row r="437" spans="2:7" ht="12.75">
      <c r="B437" s="387">
        <v>3090</v>
      </c>
      <c r="C437" s="15">
        <v>1000</v>
      </c>
      <c r="D437" s="350">
        <v>231</v>
      </c>
      <c r="E437" s="55"/>
      <c r="F437" s="350" t="s">
        <v>884</v>
      </c>
      <c r="G437" s="55">
        <v>0</v>
      </c>
    </row>
    <row r="438" spans="2:7" ht="12.75">
      <c r="B438" s="387">
        <v>3091</v>
      </c>
      <c r="C438" s="15">
        <v>1000</v>
      </c>
      <c r="D438" s="350">
        <v>231</v>
      </c>
      <c r="E438" s="113"/>
      <c r="F438" s="55"/>
      <c r="G438" s="19">
        <v>0</v>
      </c>
    </row>
    <row r="439" spans="2:7" ht="12.75">
      <c r="B439" s="55" t="s">
        <v>936</v>
      </c>
      <c r="C439" s="15">
        <v>46144.95</v>
      </c>
      <c r="D439" s="684"/>
      <c r="E439" s="55"/>
      <c r="F439" s="55"/>
      <c r="G439" s="344" t="e">
        <f>SUM(G436:G438)</f>
        <v>#REF!</v>
      </c>
    </row>
    <row r="440" spans="2:7" ht="12.75">
      <c r="B440" s="55"/>
      <c r="C440" s="587">
        <f>SUM(C418:C439)</f>
        <v>99610.44</v>
      </c>
      <c r="D440" s="55"/>
      <c r="E440" s="55"/>
      <c r="F440" s="55"/>
      <c r="G440" s="55"/>
    </row>
    <row r="441" spans="2:7" ht="12.75">
      <c r="B441" s="55"/>
      <c r="C441" s="55"/>
      <c r="D441" s="55"/>
      <c r="E441" s="681"/>
      <c r="F441" s="55"/>
      <c r="G441" s="55"/>
    </row>
    <row r="442" spans="2:7" ht="12.75">
      <c r="B442" s="55"/>
      <c r="C442" s="55"/>
      <c r="D442" s="55"/>
      <c r="E442" s="681"/>
      <c r="F442" s="55"/>
      <c r="G442" s="55"/>
    </row>
    <row r="443" spans="2:7" ht="12.75">
      <c r="B443" s="55"/>
      <c r="C443" s="55"/>
      <c r="D443" s="55"/>
      <c r="E443" s="16"/>
      <c r="F443" s="55"/>
      <c r="G443" s="55"/>
    </row>
    <row r="444" spans="2:7" ht="12.75">
      <c r="B444" s="55"/>
      <c r="C444" s="55"/>
      <c r="D444" s="55"/>
      <c r="E444" s="55"/>
      <c r="F444" s="55"/>
      <c r="G444" s="55"/>
    </row>
    <row r="445" spans="2:7" ht="12.75">
      <c r="B445" s="55"/>
      <c r="C445" s="55"/>
      <c r="D445" s="55"/>
      <c r="E445" s="55"/>
      <c r="F445" s="55"/>
      <c r="G445" s="55"/>
    </row>
    <row r="446" spans="2:7" ht="12.75">
      <c r="B446" s="55"/>
      <c r="C446" s="55"/>
      <c r="D446" s="55"/>
      <c r="E446" s="55"/>
      <c r="F446" s="55"/>
      <c r="G446" s="55"/>
    </row>
    <row r="447" spans="2:7" ht="15">
      <c r="B447" s="55"/>
      <c r="C447" s="55"/>
      <c r="D447" s="55"/>
      <c r="E447" s="690"/>
      <c r="F447" s="55"/>
      <c r="G447" s="55"/>
    </row>
    <row r="448" spans="2:7" ht="12.75">
      <c r="B448" s="55"/>
      <c r="C448" s="55"/>
      <c r="D448" s="55"/>
      <c r="E448" s="113">
        <f>SUM(C418:C438)</f>
        <v>53465.49</v>
      </c>
      <c r="F448" s="55"/>
      <c r="G448" s="55"/>
    </row>
    <row r="450" ht="12.75">
      <c r="D450" s="520">
        <v>0</v>
      </c>
    </row>
  </sheetData>
  <sheetProtection/>
  <mergeCells count="144">
    <mergeCell ref="B411:E411"/>
    <mergeCell ref="B412:E412"/>
    <mergeCell ref="E416:G416"/>
    <mergeCell ref="D293:G293"/>
    <mergeCell ref="A313:C313"/>
    <mergeCell ref="B364:E364"/>
    <mergeCell ref="B365:E365"/>
    <mergeCell ref="E369:G369"/>
    <mergeCell ref="B157:C157"/>
    <mergeCell ref="B154:C154"/>
    <mergeCell ref="L208:M208"/>
    <mergeCell ref="D292:G292"/>
    <mergeCell ref="B160:C160"/>
    <mergeCell ref="B156:C156"/>
    <mergeCell ref="J292:M292"/>
    <mergeCell ref="B158:C158"/>
    <mergeCell ref="B159:C159"/>
    <mergeCell ref="B147:C147"/>
    <mergeCell ref="B148:C148"/>
    <mergeCell ref="B149:C149"/>
    <mergeCell ref="B150:C150"/>
    <mergeCell ref="B151:C151"/>
    <mergeCell ref="B155:C155"/>
    <mergeCell ref="B152:C152"/>
    <mergeCell ref="B153:C153"/>
    <mergeCell ref="B137:C137"/>
    <mergeCell ref="B138:C138"/>
    <mergeCell ref="B141:C141"/>
    <mergeCell ref="B142:C142"/>
    <mergeCell ref="B143:C143"/>
    <mergeCell ref="B144:C144"/>
    <mergeCell ref="B124:C124"/>
    <mergeCell ref="B125:C125"/>
    <mergeCell ref="B129:C129"/>
    <mergeCell ref="B130:C130"/>
    <mergeCell ref="B133:C133"/>
    <mergeCell ref="B134:C134"/>
    <mergeCell ref="B112:C112"/>
    <mergeCell ref="B113:C113"/>
    <mergeCell ref="B114:C114"/>
    <mergeCell ref="B118:C118"/>
    <mergeCell ref="B122:C122"/>
    <mergeCell ref="B123:C123"/>
    <mergeCell ref="B102:C102"/>
    <mergeCell ref="B105:C105"/>
    <mergeCell ref="B108:C108"/>
    <mergeCell ref="B109:C109"/>
    <mergeCell ref="B110:C110"/>
    <mergeCell ref="B111:C111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1:C81"/>
    <mergeCell ref="B82:C82"/>
    <mergeCell ref="B83:C83"/>
    <mergeCell ref="B87:C87"/>
    <mergeCell ref="B88:C88"/>
    <mergeCell ref="B89:C89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J261:M261"/>
    <mergeCell ref="J260:M260"/>
    <mergeCell ref="M328:O328"/>
    <mergeCell ref="B10:C10"/>
    <mergeCell ref="B11:C11"/>
    <mergeCell ref="B12:C12"/>
    <mergeCell ref="B15:C15"/>
    <mergeCell ref="B18:C18"/>
    <mergeCell ref="B19:C19"/>
    <mergeCell ref="B20:C20"/>
    <mergeCell ref="G297:I297"/>
    <mergeCell ref="J373:M373"/>
    <mergeCell ref="M377:O377"/>
    <mergeCell ref="J293:M293"/>
    <mergeCell ref="J372:M372"/>
    <mergeCell ref="J323:M323"/>
    <mergeCell ref="J324:M324"/>
  </mergeCells>
  <printOptions/>
  <pageMargins left="0.7086614173228347" right="0.7086614173228347" top="0.7480314960629921" bottom="0.24" header="0.31496062992125984" footer="0.31496062992125984"/>
  <pageSetup orientation="landscape" r:id="rId4"/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14.28125" style="0" customWidth="1"/>
    <col min="2" max="2" width="61.7109375" style="0" customWidth="1"/>
    <col min="3" max="3" width="18.57421875" style="0" customWidth="1"/>
  </cols>
  <sheetData>
    <row r="1" spans="1:3" ht="13.5" thickBot="1">
      <c r="A1" s="1" t="s">
        <v>52</v>
      </c>
      <c r="B1" s="1"/>
      <c r="C1" s="17" t="s">
        <v>42</v>
      </c>
    </row>
    <row r="2" spans="1:3" ht="15">
      <c r="A2" s="9" t="s">
        <v>40</v>
      </c>
      <c r="B2" s="9" t="s">
        <v>41</v>
      </c>
      <c r="C2" s="18" t="s">
        <v>43</v>
      </c>
    </row>
    <row r="3" spans="1:3" ht="12.75">
      <c r="A3" s="38" t="s">
        <v>75</v>
      </c>
      <c r="B3" s="38" t="s">
        <v>85</v>
      </c>
      <c r="C3" s="44">
        <v>-18072496.8</v>
      </c>
    </row>
    <row r="4" spans="1:3" ht="12.75">
      <c r="A4" s="36" t="s">
        <v>76</v>
      </c>
      <c r="B4" s="36" t="s">
        <v>86</v>
      </c>
      <c r="C4" s="44">
        <v>-16323388.86</v>
      </c>
    </row>
    <row r="5" spans="1:3" ht="12.75">
      <c r="A5" s="36" t="s">
        <v>77</v>
      </c>
      <c r="B5" s="36" t="s">
        <v>78</v>
      </c>
      <c r="C5" s="15">
        <v>-77698852.49</v>
      </c>
    </row>
    <row r="6" spans="1:3" ht="12.75">
      <c r="A6" s="8"/>
      <c r="B6" s="8" t="s">
        <v>214</v>
      </c>
      <c r="C6" s="44"/>
    </row>
    <row r="7" spans="1:3" ht="12.75">
      <c r="A7" s="8"/>
      <c r="B7" s="8"/>
      <c r="C7" s="44"/>
    </row>
    <row r="8" spans="1:3" ht="12.75">
      <c r="A8" s="14"/>
      <c r="B8" s="14"/>
      <c r="C8" s="44"/>
    </row>
    <row r="9" spans="1:3" ht="12.75">
      <c r="A9" s="8"/>
      <c r="B9" s="8"/>
      <c r="C9" s="44"/>
    </row>
    <row r="10" spans="1:3" ht="12.75">
      <c r="A10" s="8"/>
      <c r="B10" s="8"/>
      <c r="C10" s="46"/>
    </row>
    <row r="11" spans="1:3" ht="12.75">
      <c r="A11" s="8"/>
      <c r="B11" s="8"/>
      <c r="C11" s="44"/>
    </row>
    <row r="12" spans="1:3" ht="12.75">
      <c r="A12" s="8"/>
      <c r="B12" s="8"/>
      <c r="C12" s="44"/>
    </row>
    <row r="13" spans="1:3" ht="12.75">
      <c r="A13" s="8"/>
      <c r="B13" s="8"/>
      <c r="C13" s="44"/>
    </row>
    <row r="14" spans="1:3" ht="12.75">
      <c r="A14" s="8"/>
      <c r="B14" s="8"/>
      <c r="C14" s="10"/>
    </row>
    <row r="15" spans="1:3" ht="12.75">
      <c r="A15" s="8"/>
      <c r="B15" s="8"/>
      <c r="C15" s="44"/>
    </row>
    <row r="16" spans="1:3" ht="12.75">
      <c r="A16" s="8"/>
      <c r="B16" s="8"/>
      <c r="C16" s="44"/>
    </row>
    <row r="17" spans="1:3" ht="12.75">
      <c r="A17" s="8"/>
      <c r="B17" s="8"/>
      <c r="C17" s="10"/>
    </row>
    <row r="18" spans="1:3" ht="12.75">
      <c r="A18" s="8"/>
      <c r="B18" s="8"/>
      <c r="C18" s="10"/>
    </row>
    <row r="19" spans="1:3" ht="12.75">
      <c r="A19" s="14"/>
      <c r="B19" s="8"/>
      <c r="C19" s="10"/>
    </row>
    <row r="20" spans="1:3" ht="12.75">
      <c r="A20" s="14"/>
      <c r="B20" s="8"/>
      <c r="C20" s="10"/>
    </row>
    <row r="21" spans="1:3" ht="12.75">
      <c r="A21" s="14"/>
      <c r="B21" s="8"/>
      <c r="C21" s="10"/>
    </row>
    <row r="22" spans="1:3" ht="12.75">
      <c r="A22" s="14"/>
      <c r="B22" s="8"/>
      <c r="C22" s="10"/>
    </row>
    <row r="23" spans="1:3" ht="12.75">
      <c r="A23" s="14"/>
      <c r="B23" s="8"/>
      <c r="C23" s="10"/>
    </row>
    <row r="24" spans="1:3" ht="12.75">
      <c r="A24" s="14"/>
      <c r="B24" s="8"/>
      <c r="C24" s="10"/>
    </row>
    <row r="25" spans="1:3" ht="12.75">
      <c r="A25" s="14"/>
      <c r="B25" s="8"/>
      <c r="C25" s="10"/>
    </row>
    <row r="26" spans="1:3" ht="12.75">
      <c r="A26" s="14"/>
      <c r="B26" s="8"/>
      <c r="C26" s="10"/>
    </row>
    <row r="27" spans="1:3" ht="12.75">
      <c r="A27" s="14"/>
      <c r="B27" s="8"/>
      <c r="C27" s="10"/>
    </row>
    <row r="28" spans="1:3" ht="12.75">
      <c r="A28" s="14"/>
      <c r="B28" s="8"/>
      <c r="C28" s="10"/>
    </row>
    <row r="29" spans="1:3" ht="12.75">
      <c r="A29" s="14"/>
      <c r="B29" s="8"/>
      <c r="C29" s="10"/>
    </row>
    <row r="30" spans="1:3" ht="12.75">
      <c r="A30" s="14"/>
      <c r="B30" s="8"/>
      <c r="C30" s="10"/>
    </row>
    <row r="31" spans="1:3" ht="12.75">
      <c r="A31" s="14"/>
      <c r="B31" s="8"/>
      <c r="C31" s="10"/>
    </row>
    <row r="32" spans="1:3" ht="12.75">
      <c r="A32" s="14"/>
      <c r="B32" s="8"/>
      <c r="C32" s="10"/>
    </row>
    <row r="33" spans="1:3" ht="12.75">
      <c r="A33" s="723" t="s">
        <v>0</v>
      </c>
      <c r="B33" s="724"/>
      <c r="C33" s="11">
        <f>SUM(C3:C32)</f>
        <v>-112094738.14999999</v>
      </c>
    </row>
    <row r="34" ht="12.75">
      <c r="C34" s="2"/>
    </row>
    <row r="35" spans="2:3" ht="12.75">
      <c r="B35" s="33" t="s">
        <v>80</v>
      </c>
      <c r="C35" s="35"/>
    </row>
    <row r="36" spans="2:3" ht="12.75">
      <c r="B36" s="33" t="s">
        <v>79</v>
      </c>
      <c r="C36" s="41"/>
    </row>
    <row r="37" ht="12.75">
      <c r="C37" s="2"/>
    </row>
    <row r="38" spans="1:3" ht="13.5" thickBot="1">
      <c r="A38" s="3"/>
      <c r="B38" s="34" t="s">
        <v>48</v>
      </c>
      <c r="C38" s="42">
        <f>SUM(C33:C37)</f>
        <v>-112094738.14999999</v>
      </c>
    </row>
    <row r="39" ht="13.5" thickTop="1">
      <c r="C39" s="2"/>
    </row>
  </sheetData>
  <sheetProtection/>
  <mergeCells count="1">
    <mergeCell ref="A33:B33"/>
  </mergeCells>
  <printOptions/>
  <pageMargins left="0.75" right="0.28" top="1" bottom="1" header="0" footer="0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17"/>
  <sheetViews>
    <sheetView zoomScalePageLayoutView="0" workbookViewId="0" topLeftCell="B73">
      <selection activeCell="K84" sqref="K84"/>
    </sheetView>
  </sheetViews>
  <sheetFormatPr defaultColWidth="11.421875" defaultRowHeight="12.75"/>
  <cols>
    <col min="1" max="1" width="23.421875" style="0" customWidth="1"/>
    <col min="2" max="2" width="33.00390625" style="0" customWidth="1"/>
    <col min="3" max="4" width="13.7109375" style="0" customWidth="1"/>
    <col min="5" max="5" width="15.28125" style="0" customWidth="1"/>
    <col min="6" max="6" width="12.8515625" style="0" bestFit="1" customWidth="1"/>
    <col min="7" max="7" width="20.421875" style="0" customWidth="1"/>
    <col min="8" max="8" width="31.7109375" style="0" customWidth="1"/>
    <col min="9" max="9" width="14.57421875" style="0" customWidth="1"/>
    <col min="10" max="10" width="12.8515625" style="0" bestFit="1" customWidth="1"/>
    <col min="11" max="11" width="14.28125" style="0" customWidth="1"/>
  </cols>
  <sheetData>
    <row r="1" spans="1:11" ht="12.75">
      <c r="A1" s="755" t="s">
        <v>154</v>
      </c>
      <c r="B1" s="755"/>
      <c r="C1" s="755"/>
      <c r="D1" s="755"/>
      <c r="E1" s="755"/>
      <c r="G1" s="755" t="s">
        <v>154</v>
      </c>
      <c r="H1" s="755"/>
      <c r="I1" s="755"/>
      <c r="J1" s="755"/>
      <c r="K1" s="755"/>
    </row>
    <row r="2" spans="1:11" ht="12.75">
      <c r="A2" s="756" t="s">
        <v>213</v>
      </c>
      <c r="B2" s="756"/>
      <c r="C2" s="756"/>
      <c r="D2" s="756"/>
      <c r="E2" s="756"/>
      <c r="G2" s="756" t="s">
        <v>213</v>
      </c>
      <c r="H2" s="756"/>
      <c r="I2" s="756"/>
      <c r="J2" s="756"/>
      <c r="K2" s="756"/>
    </row>
    <row r="3" spans="1:11" ht="12.75">
      <c r="A3" s="757" t="s">
        <v>887</v>
      </c>
      <c r="B3" s="757"/>
      <c r="C3" s="757"/>
      <c r="D3" s="757"/>
      <c r="E3" s="757"/>
      <c r="G3" s="757" t="s">
        <v>474</v>
      </c>
      <c r="H3" s="757"/>
      <c r="I3" s="757"/>
      <c r="J3" s="757"/>
      <c r="K3" s="757"/>
    </row>
    <row r="7" spans="1:11" ht="15">
      <c r="A7" s="752" t="s">
        <v>211</v>
      </c>
      <c r="B7" s="753"/>
      <c r="C7" s="753"/>
      <c r="D7" s="753"/>
      <c r="E7" s="754"/>
      <c r="G7" s="752" t="s">
        <v>211</v>
      </c>
      <c r="H7" s="753"/>
      <c r="I7" s="753"/>
      <c r="J7" s="753"/>
      <c r="K7" s="754"/>
    </row>
    <row r="8" spans="1:11" ht="12.75">
      <c r="A8" s="211"/>
      <c r="B8" s="212"/>
      <c r="C8" s="213" t="s">
        <v>82</v>
      </c>
      <c r="D8" s="213" t="s">
        <v>212</v>
      </c>
      <c r="E8" s="213" t="s">
        <v>83</v>
      </c>
      <c r="G8" s="211"/>
      <c r="H8" s="212"/>
      <c r="I8" s="213" t="s">
        <v>82</v>
      </c>
      <c r="J8" s="213" t="s">
        <v>212</v>
      </c>
      <c r="K8" s="213" t="s">
        <v>83</v>
      </c>
    </row>
    <row r="9" spans="1:11" ht="12.75">
      <c r="A9" s="212"/>
      <c r="B9" s="339" t="s">
        <v>479</v>
      </c>
      <c r="C9" s="209"/>
      <c r="D9" s="209"/>
      <c r="E9" s="209"/>
      <c r="G9" s="212"/>
      <c r="H9" s="339" t="s">
        <v>479</v>
      </c>
      <c r="I9" s="209"/>
      <c r="J9" s="209"/>
      <c r="K9" s="209"/>
    </row>
    <row r="10" spans="1:11" ht="12.75">
      <c r="A10" s="343">
        <v>51111</v>
      </c>
      <c r="B10" s="310" t="s">
        <v>489</v>
      </c>
      <c r="C10" s="55"/>
      <c r="E10" s="120">
        <v>0</v>
      </c>
      <c r="G10" s="8" t="s">
        <v>504</v>
      </c>
      <c r="H10" s="203" t="s">
        <v>505</v>
      </c>
      <c r="I10" s="228">
        <v>7656.32</v>
      </c>
      <c r="J10" s="226"/>
      <c r="K10" s="226"/>
    </row>
    <row r="11" spans="1:11" ht="36">
      <c r="A11" s="343">
        <v>51111</v>
      </c>
      <c r="B11" s="310" t="s">
        <v>490</v>
      </c>
      <c r="C11" s="55"/>
      <c r="E11" s="120">
        <v>0</v>
      </c>
      <c r="G11" s="55"/>
      <c r="H11" s="203" t="s">
        <v>510</v>
      </c>
      <c r="I11" s="55"/>
      <c r="J11" s="55"/>
      <c r="K11" s="55"/>
    </row>
    <row r="12" spans="1:11" ht="15">
      <c r="A12" s="343"/>
      <c r="B12" s="310"/>
      <c r="C12" s="55"/>
      <c r="D12" s="55"/>
      <c r="E12" s="120">
        <v>0</v>
      </c>
      <c r="G12" s="55"/>
      <c r="H12" s="393" t="s">
        <v>475</v>
      </c>
      <c r="I12" s="55"/>
      <c r="J12" s="55"/>
      <c r="K12" s="55"/>
    </row>
    <row r="13" spans="1:11" ht="24.75">
      <c r="A13" s="215"/>
      <c r="B13" s="392" t="s">
        <v>475</v>
      </c>
      <c r="C13" s="215"/>
      <c r="D13" s="216"/>
      <c r="E13" s="216"/>
      <c r="G13" s="8" t="s">
        <v>54</v>
      </c>
      <c r="H13" s="203" t="s">
        <v>506</v>
      </c>
      <c r="I13" s="225"/>
      <c r="J13" s="55"/>
      <c r="K13" s="390">
        <v>2536.33</v>
      </c>
    </row>
    <row r="14" spans="1:11" ht="12.75">
      <c r="A14" s="338">
        <v>614</v>
      </c>
      <c r="B14" s="206"/>
      <c r="C14" s="215"/>
      <c r="D14" s="215"/>
      <c r="E14" s="230">
        <v>0</v>
      </c>
      <c r="G14" s="8" t="s">
        <v>23</v>
      </c>
      <c r="H14" s="203" t="s">
        <v>507</v>
      </c>
      <c r="I14" s="206"/>
      <c r="J14" s="55"/>
      <c r="K14" s="206">
        <v>3263.41</v>
      </c>
    </row>
    <row r="15" spans="1:11" ht="36">
      <c r="A15" s="231"/>
      <c r="B15" s="210"/>
      <c r="C15" s="232"/>
      <c r="D15" s="232"/>
      <c r="E15" s="225"/>
      <c r="G15" s="8" t="s">
        <v>508</v>
      </c>
      <c r="H15" s="203" t="s">
        <v>509</v>
      </c>
      <c r="I15" s="215"/>
      <c r="J15" s="55"/>
      <c r="K15" s="391">
        <v>1856.58</v>
      </c>
    </row>
    <row r="16" spans="1:11" ht="36">
      <c r="A16" s="231"/>
      <c r="B16" s="210"/>
      <c r="C16" s="232"/>
      <c r="D16" s="233"/>
      <c r="E16" s="225"/>
      <c r="G16" s="338"/>
      <c r="H16" s="203" t="s">
        <v>510</v>
      </c>
      <c r="I16" s="215"/>
      <c r="J16" s="215"/>
      <c r="K16" s="390"/>
    </row>
    <row r="17" spans="1:11" ht="12.75">
      <c r="A17" s="225"/>
      <c r="B17" s="339" t="s">
        <v>480</v>
      </c>
      <c r="C17" s="225"/>
      <c r="D17" s="225"/>
      <c r="E17" s="225"/>
      <c r="G17" s="225"/>
      <c r="H17" s="339" t="s">
        <v>480</v>
      </c>
      <c r="I17" s="225"/>
      <c r="J17" s="225"/>
      <c r="K17" s="225"/>
    </row>
    <row r="18" spans="1:11" ht="24">
      <c r="A18" s="238">
        <v>59</v>
      </c>
      <c r="B18" s="214" t="s">
        <v>477</v>
      </c>
      <c r="C18" s="232">
        <v>0</v>
      </c>
      <c r="D18" s="225"/>
      <c r="E18" s="232"/>
      <c r="G18" s="238">
        <v>59</v>
      </c>
      <c r="H18" s="214" t="s">
        <v>477</v>
      </c>
      <c r="I18" s="232">
        <v>1627.44</v>
      </c>
      <c r="J18" s="225"/>
      <c r="K18" s="232"/>
    </row>
    <row r="19" spans="1:11" ht="24">
      <c r="A19" s="229" t="s">
        <v>478</v>
      </c>
      <c r="B19" s="234"/>
      <c r="C19" s="236"/>
      <c r="D19" s="232">
        <v>0</v>
      </c>
      <c r="E19" s="208"/>
      <c r="G19" s="229"/>
      <c r="H19" s="203" t="s">
        <v>511</v>
      </c>
      <c r="I19" s="236"/>
      <c r="J19" s="232"/>
      <c r="K19" s="208"/>
    </row>
    <row r="20" spans="1:11" ht="15">
      <c r="A20" s="235"/>
      <c r="B20" s="234"/>
      <c r="C20" s="236"/>
      <c r="D20" s="232"/>
      <c r="E20" s="208"/>
      <c r="G20" s="55"/>
      <c r="H20" s="393" t="s">
        <v>475</v>
      </c>
      <c r="I20" s="55"/>
      <c r="J20" s="55"/>
      <c r="K20" s="55"/>
    </row>
    <row r="21" spans="1:11" ht="12.75">
      <c r="A21" s="236"/>
      <c r="B21" s="340" t="s">
        <v>475</v>
      </c>
      <c r="C21" s="236"/>
      <c r="D21" s="236"/>
      <c r="G21" s="8" t="s">
        <v>23</v>
      </c>
      <c r="H21" s="203" t="s">
        <v>507</v>
      </c>
      <c r="I21" s="236"/>
      <c r="J21" s="232"/>
      <c r="K21" s="208">
        <v>1627.44</v>
      </c>
    </row>
    <row r="22" spans="1:11" ht="24">
      <c r="A22" s="235" t="s">
        <v>481</v>
      </c>
      <c r="B22" s="227" t="s">
        <v>483</v>
      </c>
      <c r="C22" s="208"/>
      <c r="D22" s="236"/>
      <c r="E22" s="208">
        <v>0</v>
      </c>
      <c r="F22" s="118"/>
      <c r="G22" s="235"/>
      <c r="H22" s="203" t="s">
        <v>511</v>
      </c>
      <c r="I22" s="208"/>
      <c r="J22" s="236"/>
      <c r="K22" s="208"/>
    </row>
    <row r="23" spans="1:11" ht="33.75">
      <c r="A23" s="237"/>
      <c r="B23" s="234" t="s">
        <v>482</v>
      </c>
      <c r="C23" s="236"/>
      <c r="D23" s="236"/>
      <c r="E23" s="208"/>
      <c r="G23" s="394"/>
      <c r="H23" s="234"/>
      <c r="I23" s="236"/>
      <c r="J23" s="236"/>
      <c r="K23" s="208"/>
    </row>
    <row r="24" spans="1:11" ht="12.75">
      <c r="A24" s="236"/>
      <c r="B24" s="206"/>
      <c r="C24" s="236"/>
      <c r="D24" s="236"/>
      <c r="E24" s="236"/>
      <c r="G24" s="36" t="s">
        <v>512</v>
      </c>
      <c r="H24" s="36" t="s">
        <v>513</v>
      </c>
      <c r="I24" s="208">
        <v>189492.78</v>
      </c>
      <c r="J24" s="236"/>
      <c r="K24" s="236"/>
    </row>
    <row r="25" spans="1:11" ht="33.75">
      <c r="A25" s="236"/>
      <c r="B25" s="236" t="s">
        <v>487</v>
      </c>
      <c r="C25" s="236"/>
      <c r="D25" s="236"/>
      <c r="E25" s="236"/>
      <c r="G25" s="236"/>
      <c r="H25" s="234" t="s">
        <v>514</v>
      </c>
      <c r="I25" s="236"/>
      <c r="J25" s="236"/>
      <c r="K25" s="236"/>
    </row>
    <row r="26" spans="1:11" ht="15">
      <c r="A26" s="236"/>
      <c r="B26" s="234"/>
      <c r="C26" s="208"/>
      <c r="D26" s="236"/>
      <c r="E26" s="236"/>
      <c r="G26" s="236"/>
      <c r="H26" s="393" t="s">
        <v>475</v>
      </c>
      <c r="I26" s="208"/>
      <c r="J26" s="236"/>
      <c r="K26" s="236"/>
    </row>
    <row r="27" spans="1:11" ht="12.75">
      <c r="A27" s="236"/>
      <c r="B27" s="340" t="s">
        <v>475</v>
      </c>
      <c r="C27" s="236"/>
      <c r="D27" s="236"/>
      <c r="E27" s="55"/>
      <c r="G27" s="236"/>
      <c r="H27" s="236" t="s">
        <v>487</v>
      </c>
      <c r="I27" s="236"/>
      <c r="J27" s="236"/>
      <c r="K27" s="19">
        <v>189492.78</v>
      </c>
    </row>
    <row r="28" spans="1:11" ht="12.75">
      <c r="A28" s="343">
        <v>51111</v>
      </c>
      <c r="B28" s="310" t="s">
        <v>489</v>
      </c>
      <c r="C28" s="55"/>
      <c r="E28" s="120">
        <v>439034.26</v>
      </c>
      <c r="G28" s="343"/>
      <c r="H28" s="310"/>
      <c r="I28" s="55"/>
      <c r="K28" s="120"/>
    </row>
    <row r="29" spans="1:11" ht="12.75">
      <c r="A29" s="343">
        <v>51111</v>
      </c>
      <c r="B29" s="310" t="s">
        <v>490</v>
      </c>
      <c r="C29" s="55"/>
      <c r="E29" s="120">
        <v>200000</v>
      </c>
      <c r="F29" s="118"/>
      <c r="G29" s="343"/>
      <c r="H29" s="310"/>
      <c r="I29" s="55"/>
      <c r="K29" s="120"/>
    </row>
    <row r="30" spans="1:11" ht="12.75">
      <c r="A30" s="343">
        <v>31111</v>
      </c>
      <c r="B30" s="310" t="s">
        <v>9</v>
      </c>
      <c r="C30" s="55"/>
      <c r="D30" s="55"/>
      <c r="E30" s="120">
        <v>1234065.11</v>
      </c>
      <c r="G30" s="343"/>
      <c r="H30" s="310"/>
      <c r="I30" s="55"/>
      <c r="J30" s="55"/>
      <c r="K30" s="120"/>
    </row>
    <row r="31" spans="1:11" ht="33.75">
      <c r="A31" s="55"/>
      <c r="B31" s="234" t="s">
        <v>488</v>
      </c>
      <c r="C31" s="55"/>
      <c r="D31" s="55"/>
      <c r="E31" s="55"/>
      <c r="G31" s="55"/>
      <c r="H31" s="234"/>
      <c r="I31" s="55"/>
      <c r="J31" s="55"/>
      <c r="K31" s="55"/>
    </row>
    <row r="32" spans="1:11" ht="12.75">
      <c r="A32" s="55"/>
      <c r="B32" s="55"/>
      <c r="C32" s="55"/>
      <c r="D32" s="55"/>
      <c r="E32" s="55"/>
      <c r="G32" s="55"/>
      <c r="H32" s="55"/>
      <c r="I32" s="55"/>
      <c r="J32" s="55"/>
      <c r="K32" s="55"/>
    </row>
    <row r="33" spans="1:11" ht="12.75">
      <c r="A33" s="55"/>
      <c r="B33" s="55"/>
      <c r="C33" s="120">
        <f>SUM(C10:C32)</f>
        <v>0</v>
      </c>
      <c r="D33" s="120"/>
      <c r="E33" s="120">
        <f>SUM(E10:E32)</f>
        <v>1873099.37</v>
      </c>
      <c r="G33" s="55"/>
      <c r="H33" s="55"/>
      <c r="I33" s="120">
        <f>SUM(I10:I32)</f>
        <v>198776.54</v>
      </c>
      <c r="J33" s="120"/>
      <c r="K33" s="120">
        <f>SUM(K10:K32)</f>
        <v>198776.54</v>
      </c>
    </row>
    <row r="35" spans="7:9" ht="12.75">
      <c r="G35" s="118"/>
      <c r="H35" s="349" t="s">
        <v>596</v>
      </c>
      <c r="I35" s="349" t="s">
        <v>595</v>
      </c>
    </row>
    <row r="36" spans="5:10" ht="12.75">
      <c r="E36" s="118"/>
      <c r="H36" s="7">
        <v>189492.78</v>
      </c>
      <c r="I36" s="7">
        <v>639034.26</v>
      </c>
      <c r="J36" s="118">
        <f>I36-H36</f>
        <v>449541.48</v>
      </c>
    </row>
    <row r="37" spans="5:10" ht="12.75">
      <c r="E37" s="118"/>
      <c r="I37" s="13">
        <v>53789.57</v>
      </c>
      <c r="J37" s="118">
        <f>J36+I37</f>
        <v>503331.05</v>
      </c>
    </row>
    <row r="38" spans="5:10" ht="12.75">
      <c r="E38" s="118"/>
      <c r="F38" s="13">
        <f>E36-E37</f>
        <v>0</v>
      </c>
      <c r="H38" s="7">
        <v>104424.04</v>
      </c>
      <c r="J38" s="118">
        <f>J37-H38</f>
        <v>398907.01</v>
      </c>
    </row>
    <row r="39" spans="5:11" ht="12.75">
      <c r="E39" s="118"/>
      <c r="F39" s="13"/>
      <c r="H39" s="7">
        <v>135506.15</v>
      </c>
      <c r="J39" s="444">
        <f>J38-H39</f>
        <v>263400.86</v>
      </c>
      <c r="K39" s="349" t="s">
        <v>597</v>
      </c>
    </row>
    <row r="40" ht="12.75">
      <c r="F40" s="13">
        <v>0</v>
      </c>
    </row>
    <row r="41" spans="1:11" ht="12.75">
      <c r="A41" s="755" t="s">
        <v>154</v>
      </c>
      <c r="B41" s="755"/>
      <c r="C41" s="755"/>
      <c r="D41" s="755"/>
      <c r="E41" s="755"/>
      <c r="F41" s="13">
        <v>0</v>
      </c>
      <c r="G41" s="755" t="s">
        <v>154</v>
      </c>
      <c r="H41" s="755"/>
      <c r="I41" s="755"/>
      <c r="J41" s="755"/>
      <c r="K41" s="755"/>
    </row>
    <row r="42" spans="1:11" ht="12.75">
      <c r="A42" s="756" t="s">
        <v>213</v>
      </c>
      <c r="B42" s="756"/>
      <c r="C42" s="756"/>
      <c r="D42" s="756"/>
      <c r="E42" s="756"/>
      <c r="F42" s="445">
        <v>0</v>
      </c>
      <c r="G42" s="756" t="s">
        <v>213</v>
      </c>
      <c r="H42" s="756"/>
      <c r="I42" s="756"/>
      <c r="J42" s="756"/>
      <c r="K42" s="756"/>
    </row>
    <row r="43" spans="1:11" ht="12.75">
      <c r="A43" s="757" t="s">
        <v>474</v>
      </c>
      <c r="B43" s="757"/>
      <c r="C43" s="757"/>
      <c r="D43" s="757"/>
      <c r="E43" s="757"/>
      <c r="F43" s="13">
        <f>SUM(F41:F42)</f>
        <v>0</v>
      </c>
      <c r="G43" s="757" t="s">
        <v>474</v>
      </c>
      <c r="H43" s="757"/>
      <c r="I43" s="757"/>
      <c r="J43" s="757"/>
      <c r="K43" s="757"/>
    </row>
    <row r="44" spans="1:11" ht="12.75">
      <c r="A44" s="743" t="s">
        <v>529</v>
      </c>
      <c r="B44" s="743"/>
      <c r="C44" s="743"/>
      <c r="D44" s="743"/>
      <c r="E44" s="743"/>
      <c r="G44" s="743" t="s">
        <v>582</v>
      </c>
      <c r="H44" s="743"/>
      <c r="I44" s="743"/>
      <c r="J44" s="743"/>
      <c r="K44" s="743"/>
    </row>
    <row r="47" spans="1:11" ht="15">
      <c r="A47" s="752" t="s">
        <v>211</v>
      </c>
      <c r="B47" s="753"/>
      <c r="C47" s="753"/>
      <c r="D47" s="753"/>
      <c r="E47" s="754"/>
      <c r="G47" s="752" t="s">
        <v>211</v>
      </c>
      <c r="H47" s="753"/>
      <c r="I47" s="753"/>
      <c r="J47" s="753"/>
      <c r="K47" s="754"/>
    </row>
    <row r="48" spans="1:11" ht="12.75">
      <c r="A48" s="211"/>
      <c r="B48" s="212"/>
      <c r="C48" s="213" t="s">
        <v>82</v>
      </c>
      <c r="D48" s="213" t="s">
        <v>212</v>
      </c>
      <c r="E48" s="213" t="s">
        <v>83</v>
      </c>
      <c r="G48" s="211"/>
      <c r="H48" s="212"/>
      <c r="I48" s="213" t="s">
        <v>82</v>
      </c>
      <c r="J48" s="213" t="s">
        <v>212</v>
      </c>
      <c r="K48" s="213" t="s">
        <v>83</v>
      </c>
    </row>
    <row r="49" spans="1:11" ht="12.75">
      <c r="A49" s="212"/>
      <c r="B49" s="339" t="s">
        <v>479</v>
      </c>
      <c r="C49" s="209"/>
      <c r="D49" s="209"/>
      <c r="E49" s="209"/>
      <c r="G49" s="212"/>
      <c r="H49" s="339" t="s">
        <v>479</v>
      </c>
      <c r="I49" s="209"/>
      <c r="J49" s="209"/>
      <c r="K49" s="209"/>
    </row>
    <row r="50" spans="1:11" ht="12.75">
      <c r="A50" s="8" t="s">
        <v>504</v>
      </c>
      <c r="B50" s="203" t="s">
        <v>505</v>
      </c>
      <c r="C50" s="228">
        <v>482.75</v>
      </c>
      <c r="D50" s="226"/>
      <c r="E50" s="226"/>
      <c r="G50" s="8" t="s">
        <v>504</v>
      </c>
      <c r="H50" s="203" t="s">
        <v>505</v>
      </c>
      <c r="I50" s="228">
        <v>354.76</v>
      </c>
      <c r="J50" s="226"/>
      <c r="K50" s="226"/>
    </row>
    <row r="51" spans="1:11" ht="24">
      <c r="A51" s="55"/>
      <c r="B51" s="203" t="s">
        <v>530</v>
      </c>
      <c r="C51" s="55"/>
      <c r="D51" s="55"/>
      <c r="E51" s="55"/>
      <c r="G51" s="55"/>
      <c r="H51" s="203" t="s">
        <v>530</v>
      </c>
      <c r="I51" s="55"/>
      <c r="J51" s="55"/>
      <c r="K51" s="55"/>
    </row>
    <row r="52" spans="1:11" ht="15">
      <c r="A52" s="55"/>
      <c r="B52" s="393" t="s">
        <v>475</v>
      </c>
      <c r="C52" s="55"/>
      <c r="D52" s="55"/>
      <c r="E52" s="55"/>
      <c r="G52" s="55"/>
      <c r="H52" s="393" t="s">
        <v>475</v>
      </c>
      <c r="I52" s="55"/>
      <c r="J52" s="55"/>
      <c r="K52" s="55"/>
    </row>
    <row r="53" spans="1:11" ht="24">
      <c r="A53" s="8" t="s">
        <v>54</v>
      </c>
      <c r="B53" s="203" t="s">
        <v>506</v>
      </c>
      <c r="C53" s="225"/>
      <c r="D53" s="55"/>
      <c r="E53" s="390">
        <v>295</v>
      </c>
      <c r="G53" s="8" t="s">
        <v>54</v>
      </c>
      <c r="H53" s="203" t="s">
        <v>506</v>
      </c>
      <c r="I53" s="225"/>
      <c r="J53" s="55"/>
      <c r="K53" s="390">
        <v>175</v>
      </c>
    </row>
    <row r="54" spans="1:11" ht="12.75">
      <c r="A54" s="8" t="s">
        <v>23</v>
      </c>
      <c r="B54" s="203" t="s">
        <v>507</v>
      </c>
      <c r="C54" s="206"/>
      <c r="D54" s="55"/>
      <c r="E54" s="206">
        <v>0</v>
      </c>
      <c r="F54" s="118"/>
      <c r="G54" s="8" t="s">
        <v>23</v>
      </c>
      <c r="H54" s="203" t="s">
        <v>507</v>
      </c>
      <c r="I54" s="206"/>
      <c r="J54" s="55"/>
      <c r="K54" s="206">
        <v>0</v>
      </c>
    </row>
    <row r="55" spans="1:11" ht="36">
      <c r="A55" s="8" t="s">
        <v>508</v>
      </c>
      <c r="B55" s="203" t="s">
        <v>509</v>
      </c>
      <c r="C55" s="215"/>
      <c r="D55" s="55"/>
      <c r="E55" s="391">
        <v>187.75</v>
      </c>
      <c r="G55" s="8" t="s">
        <v>508</v>
      </c>
      <c r="H55" s="203" t="s">
        <v>509</v>
      </c>
      <c r="I55" s="215"/>
      <c r="J55" s="55"/>
      <c r="K55" s="391">
        <v>179.76</v>
      </c>
    </row>
    <row r="56" spans="1:11" ht="24">
      <c r="A56" s="338"/>
      <c r="B56" s="203" t="s">
        <v>531</v>
      </c>
      <c r="C56" s="215"/>
      <c r="D56" s="215"/>
      <c r="E56" s="390"/>
      <c r="G56" s="338"/>
      <c r="H56" s="203" t="s">
        <v>531</v>
      </c>
      <c r="I56" s="215"/>
      <c r="J56" s="215"/>
      <c r="K56" s="390"/>
    </row>
    <row r="57" spans="1:11" ht="12.75">
      <c r="A57" s="343"/>
      <c r="B57" s="310"/>
      <c r="C57" s="55"/>
      <c r="E57" s="120"/>
      <c r="G57" s="343"/>
      <c r="H57" s="310"/>
      <c r="I57" s="55"/>
      <c r="K57" s="120"/>
    </row>
    <row r="58" spans="1:11" ht="12.75">
      <c r="A58" s="236"/>
      <c r="B58" s="236" t="s">
        <v>487</v>
      </c>
      <c r="C58" s="236"/>
      <c r="D58" s="236"/>
      <c r="E58" s="236"/>
      <c r="G58" s="343">
        <v>51111</v>
      </c>
      <c r="H58" s="310" t="s">
        <v>489</v>
      </c>
      <c r="I58" s="236"/>
      <c r="J58" s="236"/>
      <c r="K58" s="236"/>
    </row>
    <row r="59" spans="1:11" ht="33.75">
      <c r="A59" s="236"/>
      <c r="B59" s="234" t="s">
        <v>532</v>
      </c>
      <c r="C59" s="208">
        <v>53789.57</v>
      </c>
      <c r="D59" s="236"/>
      <c r="E59" s="236"/>
      <c r="G59" s="236"/>
      <c r="H59" s="234" t="s">
        <v>583</v>
      </c>
      <c r="I59" s="208">
        <v>104424.04</v>
      </c>
      <c r="J59" s="236"/>
      <c r="K59" s="236"/>
    </row>
    <row r="60" spans="1:11" ht="12.75">
      <c r="A60" s="236"/>
      <c r="B60" s="340" t="s">
        <v>475</v>
      </c>
      <c r="C60" s="236"/>
      <c r="D60" s="236"/>
      <c r="E60" s="55"/>
      <c r="G60" s="236"/>
      <c r="H60" s="340" t="s">
        <v>475</v>
      </c>
      <c r="I60" s="236"/>
      <c r="J60" s="236"/>
      <c r="K60" s="55"/>
    </row>
    <row r="61" spans="1:11" ht="12.75">
      <c r="A61" s="343">
        <v>51111</v>
      </c>
      <c r="B61" s="310" t="s">
        <v>489</v>
      </c>
      <c r="C61" s="55"/>
      <c r="E61" s="120">
        <v>53789.57</v>
      </c>
      <c r="H61" s="236" t="s">
        <v>487</v>
      </c>
      <c r="I61" s="55"/>
      <c r="K61" s="208">
        <v>104424.04</v>
      </c>
    </row>
    <row r="62" spans="1:11" ht="33.75">
      <c r="A62" s="55"/>
      <c r="B62" s="234" t="s">
        <v>532</v>
      </c>
      <c r="C62" s="55"/>
      <c r="D62" s="55"/>
      <c r="E62" s="55"/>
      <c r="G62" s="55"/>
      <c r="H62" s="234" t="s">
        <v>584</v>
      </c>
      <c r="I62" s="55"/>
      <c r="J62" s="55"/>
      <c r="K62" s="55"/>
    </row>
    <row r="63" spans="7:11" ht="24">
      <c r="G63" s="238">
        <v>59</v>
      </c>
      <c r="H63" s="466" t="s">
        <v>477</v>
      </c>
      <c r="I63" s="55"/>
      <c r="J63" s="55"/>
      <c r="K63" s="55"/>
    </row>
    <row r="64" spans="7:11" ht="12.75">
      <c r="G64" s="55"/>
      <c r="H64" s="55"/>
      <c r="I64" s="55"/>
      <c r="J64" s="55"/>
      <c r="K64" s="55"/>
    </row>
    <row r="65" spans="7:11" ht="12.75">
      <c r="G65" s="55"/>
      <c r="H65" s="55"/>
      <c r="I65" s="55"/>
      <c r="J65" s="55"/>
      <c r="K65" s="55"/>
    </row>
    <row r="67" spans="2:6" ht="12.75">
      <c r="B67" s="755" t="s">
        <v>154</v>
      </c>
      <c r="C67" s="755"/>
      <c r="D67" s="755"/>
      <c r="E67" s="755"/>
      <c r="F67" s="755"/>
    </row>
    <row r="68" spans="2:6" ht="12.75">
      <c r="B68" s="756" t="s">
        <v>213</v>
      </c>
      <c r="C68" s="756"/>
      <c r="D68" s="756"/>
      <c r="E68" s="756"/>
      <c r="F68" s="756"/>
    </row>
    <row r="69" spans="2:6" ht="12.75">
      <c r="B69" s="757" t="s">
        <v>474</v>
      </c>
      <c r="C69" s="757"/>
      <c r="D69" s="757"/>
      <c r="E69" s="757"/>
      <c r="F69" s="757"/>
    </row>
    <row r="70" spans="2:6" ht="12.75">
      <c r="B70" s="743" t="s">
        <v>592</v>
      </c>
      <c r="C70" s="743"/>
      <c r="D70" s="743"/>
      <c r="E70" s="743"/>
      <c r="F70" s="743"/>
    </row>
    <row r="73" spans="2:6" ht="15">
      <c r="B73" s="752" t="s">
        <v>211</v>
      </c>
      <c r="C73" s="753"/>
      <c r="D73" s="753"/>
      <c r="E73" s="753"/>
      <c r="F73" s="754"/>
    </row>
    <row r="74" spans="2:6" ht="12.75">
      <c r="B74" s="211"/>
      <c r="C74" s="212"/>
      <c r="D74" s="213" t="s">
        <v>82</v>
      </c>
      <c r="E74" s="213" t="s">
        <v>212</v>
      </c>
      <c r="F74" s="213" t="s">
        <v>83</v>
      </c>
    </row>
    <row r="75" spans="2:6" ht="12.75">
      <c r="B75" s="212"/>
      <c r="C75" s="339" t="s">
        <v>479</v>
      </c>
      <c r="D75" s="209"/>
      <c r="E75" s="209"/>
      <c r="F75" s="209"/>
    </row>
    <row r="76" spans="2:6" ht="36">
      <c r="B76" s="8" t="s">
        <v>504</v>
      </c>
      <c r="C76" s="203" t="s">
        <v>505</v>
      </c>
      <c r="D76" s="228">
        <f>F79+F80+F81</f>
        <v>7647.16</v>
      </c>
      <c r="E76" s="226"/>
      <c r="F76" s="226"/>
    </row>
    <row r="77" spans="2:11" ht="72.75" thickBot="1">
      <c r="B77" s="55"/>
      <c r="C77" s="203" t="s">
        <v>593</v>
      </c>
      <c r="D77" s="55"/>
      <c r="E77" s="55"/>
      <c r="F77" s="55"/>
      <c r="H77" s="726" t="s">
        <v>578</v>
      </c>
      <c r="I77" s="726"/>
      <c r="J77" s="726"/>
      <c r="K77" s="726"/>
    </row>
    <row r="78" spans="2:11" ht="15.75" thickBot="1">
      <c r="B78" s="55"/>
      <c r="C78" s="393" t="s">
        <v>475</v>
      </c>
      <c r="D78" s="55"/>
      <c r="E78" s="55"/>
      <c r="F78" s="55"/>
      <c r="G78" s="438" t="s">
        <v>112</v>
      </c>
      <c r="H78" s="112" t="s">
        <v>581</v>
      </c>
      <c r="I78" s="441" t="s">
        <v>579</v>
      </c>
      <c r="J78" s="441" t="s">
        <v>580</v>
      </c>
      <c r="K78" s="442" t="s">
        <v>144</v>
      </c>
    </row>
    <row r="79" spans="2:11" ht="60">
      <c r="B79" s="8" t="s">
        <v>54</v>
      </c>
      <c r="C79" s="203" t="s">
        <v>506</v>
      </c>
      <c r="D79" s="225"/>
      <c r="E79" s="55"/>
      <c r="F79" s="390">
        <v>313.24</v>
      </c>
      <c r="G79" s="122"/>
      <c r="H79" s="439">
        <v>1241290.99</v>
      </c>
      <c r="I79" s="122"/>
      <c r="J79" s="322">
        <v>0</v>
      </c>
      <c r="K79" s="440">
        <f>H79-J79</f>
        <v>1241290.99</v>
      </c>
    </row>
    <row r="80" spans="2:12" ht="36">
      <c r="B80" s="8" t="s">
        <v>23</v>
      </c>
      <c r="C80" s="203" t="s">
        <v>507</v>
      </c>
      <c r="D80" s="206"/>
      <c r="E80" s="55"/>
      <c r="F80" s="206">
        <v>7140.92</v>
      </c>
      <c r="G80" s="55"/>
      <c r="H80" s="113">
        <f aca="true" t="shared" si="0" ref="H80:H85">K79</f>
        <v>1241290.99</v>
      </c>
      <c r="I80" s="19">
        <v>36210.51</v>
      </c>
      <c r="J80" s="19">
        <v>0</v>
      </c>
      <c r="K80" s="440">
        <f>H80-J80+I80</f>
        <v>1277501.5</v>
      </c>
      <c r="L80" s="118"/>
    </row>
    <row r="81" spans="2:11" ht="84">
      <c r="B81" s="8" t="s">
        <v>508</v>
      </c>
      <c r="C81" s="203" t="s">
        <v>509</v>
      </c>
      <c r="D81" s="215"/>
      <c r="E81" s="55"/>
      <c r="F81" s="206">
        <v>193</v>
      </c>
      <c r="G81" s="443">
        <v>42948</v>
      </c>
      <c r="H81" s="113">
        <f t="shared" si="0"/>
        <v>1277501.5</v>
      </c>
      <c r="I81" s="208">
        <v>0</v>
      </c>
      <c r="J81" s="55"/>
      <c r="K81" s="113">
        <f>H81+I81</f>
        <v>1277501.5</v>
      </c>
    </row>
    <row r="82" spans="2:11" ht="72">
      <c r="B82" s="338"/>
      <c r="C82" s="203" t="s">
        <v>594</v>
      </c>
      <c r="D82" s="215"/>
      <c r="E82" s="215"/>
      <c r="F82" s="390"/>
      <c r="G82" s="437">
        <v>42979</v>
      </c>
      <c r="H82" s="113">
        <f t="shared" si="0"/>
        <v>1277501.5</v>
      </c>
      <c r="I82" s="55"/>
      <c r="J82" s="113">
        <v>0</v>
      </c>
      <c r="K82" s="19">
        <f>H82-J82</f>
        <v>1277501.5</v>
      </c>
    </row>
    <row r="83" spans="2:11" ht="12.75">
      <c r="B83" s="343"/>
      <c r="C83" s="310"/>
      <c r="D83" s="55"/>
      <c r="F83" s="120"/>
      <c r="G83" s="437">
        <v>43009</v>
      </c>
      <c r="H83" s="344">
        <f t="shared" si="0"/>
        <v>1277501.5</v>
      </c>
      <c r="I83" s="55"/>
      <c r="J83" s="19">
        <v>0</v>
      </c>
      <c r="K83" s="19">
        <f>H83-J83</f>
        <v>1277501.5</v>
      </c>
    </row>
    <row r="84" spans="2:11" ht="12.75">
      <c r="B84" s="343">
        <v>51111</v>
      </c>
      <c r="C84" s="310" t="s">
        <v>489</v>
      </c>
      <c r="D84" s="236"/>
      <c r="E84" s="208">
        <v>135506.15</v>
      </c>
      <c r="F84" s="236"/>
      <c r="G84" s="437">
        <v>43040</v>
      </c>
      <c r="H84" s="344">
        <f t="shared" si="0"/>
        <v>1277501.5</v>
      </c>
      <c r="I84" s="55"/>
      <c r="J84" s="19">
        <v>0</v>
      </c>
      <c r="K84" s="19">
        <f>H84-J84</f>
        <v>1277501.5</v>
      </c>
    </row>
    <row r="85" spans="2:11" ht="78.75">
      <c r="B85" s="236"/>
      <c r="C85" s="234" t="s">
        <v>583</v>
      </c>
      <c r="D85" s="208">
        <v>135506.15</v>
      </c>
      <c r="E85" s="236"/>
      <c r="F85" s="236"/>
      <c r="G85" s="437">
        <v>43070</v>
      </c>
      <c r="H85" s="344">
        <f t="shared" si="0"/>
        <v>1277501.5</v>
      </c>
      <c r="I85" s="55"/>
      <c r="J85" s="19">
        <v>0</v>
      </c>
      <c r="K85" s="19">
        <f>H85-J85</f>
        <v>1277501.5</v>
      </c>
    </row>
    <row r="86" spans="2:6" ht="12.75">
      <c r="B86" s="236"/>
      <c r="C86" s="340" t="s">
        <v>475</v>
      </c>
      <c r="D86" s="236"/>
      <c r="E86" s="236"/>
      <c r="F86" s="55"/>
    </row>
    <row r="87" spans="3:6" ht="12.75">
      <c r="C87" s="236" t="s">
        <v>487</v>
      </c>
      <c r="D87" s="55"/>
      <c r="F87" s="208">
        <v>135506.15</v>
      </c>
    </row>
    <row r="88" spans="2:6" ht="78.75">
      <c r="B88" s="55"/>
      <c r="C88" s="234" t="s">
        <v>584</v>
      </c>
      <c r="D88" s="55"/>
      <c r="E88" s="55"/>
      <c r="F88" s="55"/>
    </row>
    <row r="93" spans="1:11" ht="12.75">
      <c r="A93" s="755" t="s">
        <v>154</v>
      </c>
      <c r="B93" s="755"/>
      <c r="C93" s="755"/>
      <c r="D93" s="755"/>
      <c r="E93" s="755"/>
      <c r="G93" s="755" t="s">
        <v>154</v>
      </c>
      <c r="H93" s="755"/>
      <c r="I93" s="755"/>
      <c r="J93" s="755"/>
      <c r="K93" s="755"/>
    </row>
    <row r="94" spans="1:11" ht="12.75">
      <c r="A94" s="756" t="s">
        <v>213</v>
      </c>
      <c r="B94" s="756"/>
      <c r="C94" s="756"/>
      <c r="D94" s="756"/>
      <c r="E94" s="756"/>
      <c r="G94" s="756" t="s">
        <v>213</v>
      </c>
      <c r="H94" s="756"/>
      <c r="I94" s="756"/>
      <c r="J94" s="756"/>
      <c r="K94" s="756"/>
    </row>
    <row r="95" spans="1:11" ht="12.75">
      <c r="A95" s="757" t="s">
        <v>474</v>
      </c>
      <c r="B95" s="757"/>
      <c r="C95" s="757"/>
      <c r="D95" s="757"/>
      <c r="E95" s="757"/>
      <c r="G95" s="757" t="s">
        <v>474</v>
      </c>
      <c r="H95" s="757"/>
      <c r="I95" s="757"/>
      <c r="J95" s="757"/>
      <c r="K95" s="757"/>
    </row>
    <row r="96" spans="1:11" ht="12.75">
      <c r="A96" s="743" t="s">
        <v>604</v>
      </c>
      <c r="B96" s="743"/>
      <c r="C96" s="743"/>
      <c r="D96" s="743"/>
      <c r="E96" s="743"/>
      <c r="G96" s="743" t="s">
        <v>645</v>
      </c>
      <c r="H96" s="743"/>
      <c r="I96" s="743"/>
      <c r="J96" s="743"/>
      <c r="K96" s="743"/>
    </row>
    <row r="99" spans="1:11" ht="15">
      <c r="A99" s="752" t="s">
        <v>211</v>
      </c>
      <c r="B99" s="753"/>
      <c r="C99" s="753"/>
      <c r="D99" s="753"/>
      <c r="E99" s="754"/>
      <c r="G99" s="752" t="s">
        <v>211</v>
      </c>
      <c r="H99" s="753"/>
      <c r="I99" s="753"/>
      <c r="J99" s="753"/>
      <c r="K99" s="754"/>
    </row>
    <row r="100" spans="1:11" ht="12.75">
      <c r="A100" s="211"/>
      <c r="B100" s="212"/>
      <c r="C100" s="213" t="s">
        <v>82</v>
      </c>
      <c r="D100" s="213" t="s">
        <v>212</v>
      </c>
      <c r="E100" s="213" t="s">
        <v>83</v>
      </c>
      <c r="G100" s="211"/>
      <c r="H100" s="212"/>
      <c r="I100" s="213" t="s">
        <v>82</v>
      </c>
      <c r="J100" s="213" t="s">
        <v>212</v>
      </c>
      <c r="K100" s="213" t="s">
        <v>83</v>
      </c>
    </row>
    <row r="101" spans="1:11" ht="12.75">
      <c r="A101" s="212"/>
      <c r="B101" s="339" t="s">
        <v>479</v>
      </c>
      <c r="C101" s="209"/>
      <c r="D101" s="209"/>
      <c r="E101" s="209"/>
      <c r="G101" s="212"/>
      <c r="H101" s="339" t="s">
        <v>479</v>
      </c>
      <c r="I101" s="209"/>
      <c r="J101" s="209"/>
      <c r="K101" s="209"/>
    </row>
    <row r="102" spans="1:11" ht="12.75">
      <c r="A102" s="8" t="s">
        <v>504</v>
      </c>
      <c r="B102" s="203" t="s">
        <v>505</v>
      </c>
      <c r="C102" s="228">
        <v>350</v>
      </c>
      <c r="D102" s="226"/>
      <c r="E102" s="226"/>
      <c r="G102" s="8" t="s">
        <v>504</v>
      </c>
      <c r="H102" s="203" t="s">
        <v>505</v>
      </c>
      <c r="I102" s="228">
        <f>K105+K107</f>
        <v>620</v>
      </c>
      <c r="J102" s="226"/>
      <c r="K102" s="226"/>
    </row>
    <row r="103" spans="1:11" ht="36">
      <c r="A103" s="55"/>
      <c r="B103" s="203" t="s">
        <v>605</v>
      </c>
      <c r="C103" s="55"/>
      <c r="D103" s="55"/>
      <c r="E103" s="55"/>
      <c r="G103" s="55"/>
      <c r="H103" s="203" t="s">
        <v>646</v>
      </c>
      <c r="I103" s="55"/>
      <c r="J103" s="55"/>
      <c r="K103" s="55"/>
    </row>
    <row r="104" spans="1:11" ht="15">
      <c r="A104" s="55"/>
      <c r="B104" s="393" t="s">
        <v>475</v>
      </c>
      <c r="C104" s="55"/>
      <c r="D104" s="55"/>
      <c r="E104" s="55"/>
      <c r="G104" s="55"/>
      <c r="H104" s="393" t="s">
        <v>475</v>
      </c>
      <c r="I104" s="55"/>
      <c r="J104" s="55"/>
      <c r="K104" s="55"/>
    </row>
    <row r="105" spans="1:11" ht="24">
      <c r="A105" s="8" t="s">
        <v>54</v>
      </c>
      <c r="B105" s="203" t="s">
        <v>506</v>
      </c>
      <c r="C105" s="225"/>
      <c r="D105" s="55"/>
      <c r="E105" s="390">
        <v>175</v>
      </c>
      <c r="G105" s="8" t="s">
        <v>54</v>
      </c>
      <c r="H105" s="203" t="s">
        <v>506</v>
      </c>
      <c r="I105" s="225"/>
      <c r="J105" s="55"/>
      <c r="K105" s="390">
        <v>295</v>
      </c>
    </row>
    <row r="106" spans="1:11" ht="12.75">
      <c r="A106" s="8" t="s">
        <v>23</v>
      </c>
      <c r="B106" s="203" t="s">
        <v>507</v>
      </c>
      <c r="C106" s="206"/>
      <c r="D106" s="55"/>
      <c r="E106" s="206">
        <v>0</v>
      </c>
      <c r="G106" s="8" t="s">
        <v>23</v>
      </c>
      <c r="H106" s="203" t="s">
        <v>507</v>
      </c>
      <c r="I106" s="206"/>
      <c r="J106" s="55"/>
      <c r="K106" s="206">
        <v>0</v>
      </c>
    </row>
    <row r="107" spans="1:11" ht="36">
      <c r="A107" s="8" t="s">
        <v>508</v>
      </c>
      <c r="B107" s="203" t="s">
        <v>509</v>
      </c>
      <c r="C107" s="215"/>
      <c r="D107" s="55"/>
      <c r="E107" s="206">
        <v>175</v>
      </c>
      <c r="G107" s="8" t="s">
        <v>508</v>
      </c>
      <c r="H107" s="203" t="s">
        <v>509</v>
      </c>
      <c r="I107" s="215"/>
      <c r="J107" s="55"/>
      <c r="K107" s="206">
        <v>325</v>
      </c>
    </row>
    <row r="108" spans="1:11" ht="36">
      <c r="A108" s="338"/>
      <c r="B108" s="203" t="s">
        <v>606</v>
      </c>
      <c r="C108" s="215"/>
      <c r="D108" s="215"/>
      <c r="E108" s="390"/>
      <c r="G108" s="338"/>
      <c r="H108" s="203" t="s">
        <v>647</v>
      </c>
      <c r="I108" s="215"/>
      <c r="J108" s="215"/>
      <c r="K108" s="390"/>
    </row>
    <row r="109" spans="1:11" ht="12.75">
      <c r="A109" s="343"/>
      <c r="B109" s="310"/>
      <c r="C109" s="55"/>
      <c r="E109" s="120"/>
      <c r="G109" s="343"/>
      <c r="H109" s="310"/>
      <c r="I109" s="55"/>
      <c r="K109" s="120"/>
    </row>
    <row r="110" spans="1:11" ht="12.75">
      <c r="A110" s="343">
        <v>51111</v>
      </c>
      <c r="B110" s="310" t="s">
        <v>489</v>
      </c>
      <c r="C110" s="236"/>
      <c r="D110" s="208">
        <v>151699.45</v>
      </c>
      <c r="E110" s="236"/>
      <c r="G110" s="343">
        <v>51111</v>
      </c>
      <c r="H110" s="310" t="s">
        <v>489</v>
      </c>
      <c r="I110" s="236"/>
      <c r="J110" s="208">
        <v>104475.56</v>
      </c>
      <c r="K110" s="236"/>
    </row>
    <row r="111" spans="1:11" ht="33.75">
      <c r="A111" s="236"/>
      <c r="B111" s="234" t="s">
        <v>583</v>
      </c>
      <c r="C111" s="208">
        <v>151699.45</v>
      </c>
      <c r="D111" s="236"/>
      <c r="E111" s="236"/>
      <c r="G111" s="236"/>
      <c r="H111" s="234" t="s">
        <v>648</v>
      </c>
      <c r="I111" s="208">
        <v>104475.56</v>
      </c>
      <c r="J111" s="236"/>
      <c r="K111" s="236"/>
    </row>
    <row r="112" spans="1:11" ht="12.75">
      <c r="A112" s="236"/>
      <c r="B112" s="340" t="s">
        <v>475</v>
      </c>
      <c r="C112" s="236"/>
      <c r="D112" s="236"/>
      <c r="E112" s="55"/>
      <c r="G112" s="236"/>
      <c r="H112" s="340" t="s">
        <v>475</v>
      </c>
      <c r="I112" s="236"/>
      <c r="J112" s="236"/>
      <c r="K112" s="55"/>
    </row>
    <row r="113" spans="2:11" ht="12.75">
      <c r="B113" s="236" t="s">
        <v>487</v>
      </c>
      <c r="C113" s="55"/>
      <c r="E113" s="208">
        <v>151699.45</v>
      </c>
      <c r="H113" s="236" t="s">
        <v>487</v>
      </c>
      <c r="I113" s="55"/>
      <c r="K113" s="208">
        <v>104475.56</v>
      </c>
    </row>
    <row r="114" spans="1:11" ht="33.75">
      <c r="A114" s="55"/>
      <c r="B114" s="234" t="s">
        <v>584</v>
      </c>
      <c r="C114" s="55"/>
      <c r="D114" s="55"/>
      <c r="E114" s="55"/>
      <c r="G114" s="468"/>
      <c r="H114" s="467" t="s">
        <v>648</v>
      </c>
      <c r="I114" s="55"/>
      <c r="J114" s="55"/>
      <c r="K114" s="55"/>
    </row>
    <row r="115" spans="7:11" ht="22.5">
      <c r="G115" s="229" t="s">
        <v>478</v>
      </c>
      <c r="H115" s="234" t="s">
        <v>476</v>
      </c>
      <c r="I115" s="236"/>
      <c r="J115" s="232">
        <v>106170.5</v>
      </c>
      <c r="K115" s="55"/>
    </row>
    <row r="116" spans="7:11" ht="22.5">
      <c r="G116" s="235"/>
      <c r="H116" s="227" t="s">
        <v>649</v>
      </c>
      <c r="I116" s="208"/>
      <c r="J116" s="55"/>
      <c r="K116" s="208">
        <v>106170.5</v>
      </c>
    </row>
    <row r="117" spans="7:11" ht="33.75">
      <c r="G117" s="394"/>
      <c r="H117" s="234" t="s">
        <v>482</v>
      </c>
      <c r="I117" s="236"/>
      <c r="J117" s="55"/>
      <c r="K117" s="55"/>
    </row>
  </sheetData>
  <sheetProtection/>
  <mergeCells count="34">
    <mergeCell ref="G93:K93"/>
    <mergeCell ref="G94:K94"/>
    <mergeCell ref="G95:K95"/>
    <mergeCell ref="G96:K96"/>
    <mergeCell ref="G99:K99"/>
    <mergeCell ref="A93:E93"/>
    <mergeCell ref="A94:E94"/>
    <mergeCell ref="A95:E95"/>
    <mergeCell ref="A96:E96"/>
    <mergeCell ref="A99:E99"/>
    <mergeCell ref="B67:F67"/>
    <mergeCell ref="B68:F68"/>
    <mergeCell ref="B69:F69"/>
    <mergeCell ref="B70:F70"/>
    <mergeCell ref="A47:E47"/>
    <mergeCell ref="A44:E44"/>
    <mergeCell ref="G7:K7"/>
    <mergeCell ref="A1:E1"/>
    <mergeCell ref="A2:E2"/>
    <mergeCell ref="A3:E3"/>
    <mergeCell ref="G1:K1"/>
    <mergeCell ref="G2:K2"/>
    <mergeCell ref="G3:K3"/>
    <mergeCell ref="A7:E7"/>
    <mergeCell ref="B73:F73"/>
    <mergeCell ref="H77:K77"/>
    <mergeCell ref="G41:K41"/>
    <mergeCell ref="G42:K42"/>
    <mergeCell ref="G43:K43"/>
    <mergeCell ref="G44:K44"/>
    <mergeCell ref="G47:K47"/>
    <mergeCell ref="A41:E41"/>
    <mergeCell ref="A42:E42"/>
    <mergeCell ref="A43:E43"/>
  </mergeCells>
  <printOptions/>
  <pageMargins left="0.7086614173228347" right="0.7086614173228347" top="0.7480314960629921" bottom="0.7480314960629921" header="0.31496062992125984" footer="0.31496062992125984"/>
  <pageSetup orientation="portrait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238"/>
  <sheetViews>
    <sheetView zoomScalePageLayoutView="0" workbookViewId="0" topLeftCell="A87">
      <selection activeCell="D95" sqref="D95"/>
    </sheetView>
  </sheetViews>
  <sheetFormatPr defaultColWidth="11.421875" defaultRowHeight="12.75"/>
  <cols>
    <col min="1" max="1" width="10.8515625" style="0" customWidth="1"/>
    <col min="2" max="2" width="18.7109375" style="0" customWidth="1"/>
    <col min="3" max="3" width="5.28125" style="0" customWidth="1"/>
    <col min="4" max="4" width="37.57421875" style="0" customWidth="1"/>
    <col min="5" max="5" width="25.421875" style="0" customWidth="1"/>
    <col min="6" max="6" width="13.140625" style="0" customWidth="1"/>
    <col min="7" max="7" width="15.7109375" style="0" customWidth="1"/>
    <col min="8" max="8" width="12.140625" style="0" customWidth="1"/>
    <col min="9" max="9" width="14.28125" style="0" customWidth="1"/>
    <col min="10" max="10" width="15.57421875" style="0" customWidth="1"/>
    <col min="12" max="12" width="14.7109375" style="0" customWidth="1"/>
  </cols>
  <sheetData>
    <row r="1" spans="1:4" ht="12.75">
      <c r="A1" s="5"/>
      <c r="B1" s="25"/>
      <c r="C1" s="25"/>
      <c r="D1" s="25"/>
    </row>
    <row r="2" spans="1:4" ht="12.75">
      <c r="A2" s="5"/>
      <c r="B2" s="25"/>
      <c r="C2" s="25"/>
      <c r="D2" s="25"/>
    </row>
    <row r="3" spans="1:4" ht="12.75">
      <c r="A3" s="5"/>
      <c r="B3" s="25"/>
      <c r="C3" s="25"/>
      <c r="D3" s="25"/>
    </row>
    <row r="4" spans="1:4" ht="12.75">
      <c r="A4" s="5"/>
      <c r="B4" s="25"/>
      <c r="C4" s="25"/>
      <c r="D4" s="25"/>
    </row>
    <row r="5" spans="1:4" ht="12.75">
      <c r="A5" s="5"/>
      <c r="B5" s="25"/>
      <c r="C5" s="25"/>
      <c r="D5" s="25"/>
    </row>
    <row r="6" spans="1:12" ht="15.75">
      <c r="A6" s="714" t="s">
        <v>115</v>
      </c>
      <c r="B6" s="714"/>
      <c r="C6" s="714"/>
      <c r="D6" s="714"/>
      <c r="E6" s="714"/>
      <c r="F6" s="714"/>
      <c r="G6" s="714"/>
      <c r="H6" s="714"/>
      <c r="I6" s="714"/>
      <c r="J6" s="714"/>
      <c r="K6" s="714"/>
      <c r="L6" s="714"/>
    </row>
    <row r="7" spans="1:12" ht="12.75">
      <c r="A7" s="715" t="s">
        <v>535</v>
      </c>
      <c r="B7" s="715"/>
      <c r="C7" s="715"/>
      <c r="D7" s="715"/>
      <c r="E7" s="715"/>
      <c r="F7" s="715"/>
      <c r="G7" s="715"/>
      <c r="H7" s="715"/>
      <c r="I7" s="715"/>
      <c r="J7" s="715"/>
      <c r="K7" s="715"/>
      <c r="L7" s="715"/>
    </row>
    <row r="8" spans="1:12" ht="12.75">
      <c r="A8" s="722" t="s">
        <v>1</v>
      </c>
      <c r="B8" s="722"/>
      <c r="C8" s="722"/>
      <c r="D8" s="722"/>
      <c r="E8" s="722"/>
      <c r="F8" s="722"/>
      <c r="G8" s="722"/>
      <c r="H8" s="722"/>
      <c r="I8" s="722"/>
      <c r="J8" s="722"/>
      <c r="K8" s="722"/>
      <c r="L8" s="722"/>
    </row>
    <row r="9" spans="1:12" ht="12.75">
      <c r="A9" s="715" t="s">
        <v>225</v>
      </c>
      <c r="B9" s="715"/>
      <c r="C9" s="715"/>
      <c r="D9" s="715"/>
      <c r="E9" s="715"/>
      <c r="F9" s="715"/>
      <c r="G9" s="715"/>
      <c r="H9" s="715"/>
      <c r="I9" s="715"/>
      <c r="J9" s="715"/>
      <c r="K9" s="715"/>
      <c r="L9" s="715"/>
    </row>
    <row r="10" spans="1:12" ht="12.75">
      <c r="A10" s="715" t="s">
        <v>2</v>
      </c>
      <c r="B10" s="715"/>
      <c r="C10" s="715"/>
      <c r="D10" s="715"/>
      <c r="E10" s="715"/>
      <c r="F10" s="715"/>
      <c r="G10" s="715"/>
      <c r="H10" s="715"/>
      <c r="I10" s="715"/>
      <c r="J10" s="715"/>
      <c r="K10" s="715"/>
      <c r="L10" s="715"/>
    </row>
    <row r="11" spans="1:4" ht="12.75">
      <c r="A11" s="47"/>
      <c r="B11" s="47"/>
      <c r="C11" s="47"/>
      <c r="D11" s="47"/>
    </row>
    <row r="15" ht="13.5" thickBot="1"/>
    <row r="16" spans="1:12" ht="38.25">
      <c r="A16" s="104" t="s">
        <v>116</v>
      </c>
      <c r="B16" s="105" t="s">
        <v>117</v>
      </c>
      <c r="C16" s="105" t="s">
        <v>118</v>
      </c>
      <c r="D16" s="105" t="s">
        <v>41</v>
      </c>
      <c r="E16" s="105" t="s">
        <v>119</v>
      </c>
      <c r="F16" s="100" t="s">
        <v>151</v>
      </c>
      <c r="G16" s="100" t="s">
        <v>152</v>
      </c>
      <c r="H16" s="100" t="s">
        <v>393</v>
      </c>
      <c r="I16" s="100" t="s">
        <v>395</v>
      </c>
      <c r="J16" s="100" t="s">
        <v>394</v>
      </c>
      <c r="K16" s="100" t="s">
        <v>396</v>
      </c>
      <c r="L16" s="100" t="s">
        <v>397</v>
      </c>
    </row>
    <row r="17" spans="1:12" ht="25.5">
      <c r="A17" s="101">
        <v>42928</v>
      </c>
      <c r="B17" s="103" t="s">
        <v>536</v>
      </c>
      <c r="C17" s="103">
        <v>60</v>
      </c>
      <c r="D17" s="102" t="s">
        <v>537</v>
      </c>
      <c r="E17" s="102" t="s">
        <v>538</v>
      </c>
      <c r="F17" s="109">
        <v>20431.7</v>
      </c>
      <c r="G17" s="107">
        <f>F17*C17</f>
        <v>1225902</v>
      </c>
      <c r="H17" s="107">
        <v>0</v>
      </c>
      <c r="I17" s="108">
        <f>G17-H17</f>
        <v>1225902</v>
      </c>
      <c r="J17" s="109">
        <f>I17/2*0.25</f>
        <v>153237.75</v>
      </c>
      <c r="K17" s="113">
        <f>H17+J17</f>
        <v>153237.75</v>
      </c>
      <c r="L17" s="113">
        <f>G17-J17</f>
        <v>1072664.25</v>
      </c>
    </row>
    <row r="18" spans="1:12" ht="12.75">
      <c r="A18" s="309"/>
      <c r="B18" s="310"/>
      <c r="C18" s="310">
        <v>1</v>
      </c>
      <c r="D18" s="311"/>
      <c r="E18" s="310"/>
      <c r="F18" s="120"/>
      <c r="G18" s="107">
        <f>F18*C18</f>
        <v>0</v>
      </c>
      <c r="H18" s="55"/>
      <c r="I18" s="108">
        <f>G18-H18</f>
        <v>0</v>
      </c>
      <c r="J18" s="109">
        <f>I18/2*0.25</f>
        <v>0</v>
      </c>
      <c r="K18" s="312">
        <f>H18+J18</f>
        <v>0</v>
      </c>
      <c r="L18" s="312">
        <f>G18-J18</f>
        <v>0</v>
      </c>
    </row>
    <row r="19" ht="13.5" thickBot="1"/>
    <row r="20" spans="1:12" ht="15.75" thickBot="1">
      <c r="A20" s="112"/>
      <c r="B20" s="111"/>
      <c r="C20" s="111"/>
      <c r="D20" s="314" t="s">
        <v>539</v>
      </c>
      <c r="E20" s="314"/>
      <c r="F20" s="313"/>
      <c r="G20" s="430">
        <f>SUBTOTAL(9,G17:G19)</f>
        <v>1225902</v>
      </c>
      <c r="H20" s="315"/>
      <c r="I20" s="315"/>
      <c r="J20" s="316">
        <f>SUBTOTAL(9,J17:J19)</f>
        <v>153237.75</v>
      </c>
      <c r="K20" s="317"/>
      <c r="L20" s="318">
        <f>SUBTOTAL(9,L17:L19)</f>
        <v>1072664.25</v>
      </c>
    </row>
    <row r="21" spans="1:7" ht="12.75">
      <c r="A21" s="110"/>
      <c r="B21" s="1"/>
      <c r="C21" s="1"/>
      <c r="D21" s="1"/>
      <c r="E21" s="1"/>
      <c r="F21" s="1"/>
      <c r="G21" s="1"/>
    </row>
    <row r="28" spans="1:12" ht="12.75">
      <c r="A28" s="715"/>
      <c r="B28" s="715"/>
      <c r="C28" s="715"/>
      <c r="D28" s="715"/>
      <c r="E28" s="715"/>
      <c r="F28" s="715"/>
      <c r="G28" s="715"/>
      <c r="H28" s="99"/>
      <c r="I28" s="99"/>
      <c r="J28" s="99"/>
      <c r="K28" s="99"/>
      <c r="L28" s="99"/>
    </row>
    <row r="33" spans="1:4" ht="12.75">
      <c r="A33" s="5"/>
      <c r="B33" s="25"/>
      <c r="C33" s="25"/>
      <c r="D33" s="25"/>
    </row>
    <row r="34" spans="1:4" ht="12.75">
      <c r="A34" s="5"/>
      <c r="B34" s="25"/>
      <c r="C34" s="25"/>
      <c r="D34" s="25"/>
    </row>
    <row r="35" spans="1:4" ht="12.75">
      <c r="A35" s="5"/>
      <c r="B35" s="25"/>
      <c r="C35" s="25"/>
      <c r="D35" s="25"/>
    </row>
    <row r="36" spans="1:4" ht="12.75">
      <c r="A36" s="5"/>
      <c r="B36" s="25"/>
      <c r="C36" s="25"/>
      <c r="D36" s="25"/>
    </row>
    <row r="37" spans="1:4" ht="12.75">
      <c r="A37" s="5"/>
      <c r="B37" s="25"/>
      <c r="C37" s="25"/>
      <c r="D37" s="25"/>
    </row>
    <row r="38" spans="1:12" ht="15.75">
      <c r="A38" s="714" t="s">
        <v>115</v>
      </c>
      <c r="B38" s="714"/>
      <c r="C38" s="714"/>
      <c r="D38" s="714"/>
      <c r="E38" s="714"/>
      <c r="F38" s="714"/>
      <c r="G38" s="714"/>
      <c r="H38" s="714"/>
      <c r="I38" s="714"/>
      <c r="J38" s="714"/>
      <c r="K38" s="714"/>
      <c r="L38" s="714"/>
    </row>
    <row r="39" spans="1:12" ht="12.75">
      <c r="A39" s="715" t="s">
        <v>155</v>
      </c>
      <c r="B39" s="715"/>
      <c r="C39" s="715"/>
      <c r="D39" s="715"/>
      <c r="E39" s="715"/>
      <c r="F39" s="715"/>
      <c r="G39" s="715"/>
      <c r="H39" s="715"/>
      <c r="I39" s="715"/>
      <c r="J39" s="715"/>
      <c r="K39" s="715"/>
      <c r="L39" s="715"/>
    </row>
    <row r="40" spans="1:12" ht="12.75">
      <c r="A40" s="722" t="s">
        <v>1</v>
      </c>
      <c r="B40" s="722"/>
      <c r="C40" s="722"/>
      <c r="D40" s="722"/>
      <c r="E40" s="722"/>
      <c r="F40" s="722"/>
      <c r="G40" s="722"/>
      <c r="H40" s="722"/>
      <c r="I40" s="722"/>
      <c r="J40" s="722"/>
      <c r="K40" s="722"/>
      <c r="L40" s="722"/>
    </row>
    <row r="41" spans="1:12" ht="12.75">
      <c r="A41" s="715" t="s">
        <v>225</v>
      </c>
      <c r="B41" s="715"/>
      <c r="C41" s="715"/>
      <c r="D41" s="715"/>
      <c r="E41" s="715"/>
      <c r="F41" s="715"/>
      <c r="G41" s="715"/>
      <c r="H41" s="715"/>
      <c r="I41" s="715"/>
      <c r="J41" s="715"/>
      <c r="K41" s="715"/>
      <c r="L41" s="715"/>
    </row>
    <row r="42" spans="1:12" ht="12.75">
      <c r="A42" s="715" t="s">
        <v>2</v>
      </c>
      <c r="B42" s="715"/>
      <c r="C42" s="715"/>
      <c r="D42" s="715"/>
      <c r="E42" s="715"/>
      <c r="F42" s="715"/>
      <c r="G42" s="715"/>
      <c r="H42" s="715"/>
      <c r="I42" s="715"/>
      <c r="J42" s="715"/>
      <c r="K42" s="715"/>
      <c r="L42" s="715"/>
    </row>
    <row r="43" spans="1:4" ht="12.75">
      <c r="A43" s="47"/>
      <c r="B43" s="47"/>
      <c r="C43" s="47"/>
      <c r="D43" s="47"/>
    </row>
    <row r="47" ht="13.5" thickBot="1"/>
    <row r="48" spans="1:13" ht="38.25">
      <c r="A48" s="104" t="s">
        <v>116</v>
      </c>
      <c r="B48" s="105" t="s">
        <v>117</v>
      </c>
      <c r="C48" s="105" t="s">
        <v>118</v>
      </c>
      <c r="D48" s="105" t="s">
        <v>41</v>
      </c>
      <c r="E48" s="105" t="s">
        <v>119</v>
      </c>
      <c r="F48" s="100" t="s">
        <v>151</v>
      </c>
      <c r="G48" s="100" t="s">
        <v>152</v>
      </c>
      <c r="H48" s="100" t="s">
        <v>393</v>
      </c>
      <c r="I48" s="100" t="s">
        <v>395</v>
      </c>
      <c r="J48" s="100" t="s">
        <v>394</v>
      </c>
      <c r="K48" s="100" t="s">
        <v>396</v>
      </c>
      <c r="L48" s="100" t="s">
        <v>397</v>
      </c>
      <c r="M48" s="106"/>
    </row>
    <row r="49" spans="1:12" ht="38.25">
      <c r="A49" s="101">
        <v>42781</v>
      </c>
      <c r="B49" s="103" t="s">
        <v>226</v>
      </c>
      <c r="C49" s="103">
        <v>1</v>
      </c>
      <c r="D49" s="102" t="s">
        <v>227</v>
      </c>
      <c r="E49" s="102" t="s">
        <v>228</v>
      </c>
      <c r="F49" s="109">
        <v>52000</v>
      </c>
      <c r="G49" s="107">
        <f>F49*C49</f>
        <v>52000</v>
      </c>
      <c r="H49" s="107">
        <v>0</v>
      </c>
      <c r="I49" s="108">
        <f>G49-H49</f>
        <v>52000</v>
      </c>
      <c r="J49" s="109">
        <f>I49/2*0.25</f>
        <v>6500</v>
      </c>
      <c r="K49" s="113">
        <f>H49+J49</f>
        <v>6500</v>
      </c>
      <c r="L49" s="113">
        <f>G49-J49</f>
        <v>45500</v>
      </c>
    </row>
    <row r="50" spans="1:12" ht="38.25">
      <c r="A50" s="309">
        <v>42888</v>
      </c>
      <c r="B50" s="310" t="s">
        <v>390</v>
      </c>
      <c r="C50" s="310">
        <v>1</v>
      </c>
      <c r="D50" s="311" t="s">
        <v>391</v>
      </c>
      <c r="E50" s="310" t="s">
        <v>392</v>
      </c>
      <c r="F50" s="120">
        <v>3478000.03</v>
      </c>
      <c r="G50" s="107">
        <f>F50*C50</f>
        <v>3478000.03</v>
      </c>
      <c r="H50" s="55"/>
      <c r="I50" s="108">
        <f>G50-H50</f>
        <v>3478000.03</v>
      </c>
      <c r="J50" s="109">
        <f>I50/2*0.25</f>
        <v>434750.00375</v>
      </c>
      <c r="K50" s="312">
        <f>H50+J50</f>
        <v>434750.00375</v>
      </c>
      <c r="L50" s="312">
        <f>G50-J50</f>
        <v>3043250.0262499996</v>
      </c>
    </row>
    <row r="51" ht="13.5" thickBot="1"/>
    <row r="52" spans="1:12" ht="15.75" thickBot="1">
      <c r="A52" s="112"/>
      <c r="B52" s="111"/>
      <c r="C52" s="111"/>
      <c r="D52" s="314" t="s">
        <v>156</v>
      </c>
      <c r="E52" s="314"/>
      <c r="F52" s="313"/>
      <c r="G52" s="430">
        <f>SUBTOTAL(9,G49:G51)</f>
        <v>3530000.03</v>
      </c>
      <c r="H52" s="315"/>
      <c r="I52" s="315"/>
      <c r="J52" s="316">
        <f>SUBTOTAL(9,J49:J51)</f>
        <v>441250.00375</v>
      </c>
      <c r="K52" s="317"/>
      <c r="L52" s="318">
        <f>SUBTOTAL(9,L49:L51)</f>
        <v>3088750.0262499996</v>
      </c>
    </row>
    <row r="53" spans="1:7" ht="12.75">
      <c r="A53" s="110"/>
      <c r="B53" s="1"/>
      <c r="C53" s="1"/>
      <c r="D53" s="1"/>
      <c r="E53" s="1"/>
      <c r="F53" s="1"/>
      <c r="G53" s="1"/>
    </row>
    <row r="56" spans="1:4" ht="12.75">
      <c r="A56" s="5"/>
      <c r="B56" s="25"/>
      <c r="C56" s="25"/>
      <c r="D56" s="25"/>
    </row>
    <row r="57" spans="1:12" ht="12.75">
      <c r="A57" s="114"/>
      <c r="B57" s="115"/>
      <c r="C57" s="114"/>
      <c r="D57" s="116"/>
      <c r="E57" s="116"/>
      <c r="F57" s="116"/>
      <c r="G57" s="117"/>
      <c r="H57" s="114"/>
      <c r="I57" s="114"/>
      <c r="J57" s="114"/>
      <c r="K57" s="114"/>
      <c r="L57" s="114"/>
    </row>
    <row r="58" spans="1:12" ht="12.75">
      <c r="A58" s="114"/>
      <c r="B58" s="115"/>
      <c r="C58" s="114"/>
      <c r="D58" s="116"/>
      <c r="E58" s="116"/>
      <c r="F58" s="116"/>
      <c r="H58" s="114"/>
      <c r="I58" s="114"/>
      <c r="J58" s="114"/>
      <c r="K58" s="114"/>
      <c r="L58" s="114"/>
    </row>
    <row r="59" spans="1:12" ht="12.75">
      <c r="A59" s="114"/>
      <c r="B59" s="115"/>
      <c r="C59" s="114"/>
      <c r="D59" s="116"/>
      <c r="E59" s="116"/>
      <c r="F59" s="116"/>
      <c r="G59" s="117"/>
      <c r="H59" s="121"/>
      <c r="I59" s="114"/>
      <c r="J59" s="114"/>
      <c r="K59" s="114"/>
      <c r="L59" s="114"/>
    </row>
    <row r="60" spans="1:12" ht="12.75">
      <c r="A60" s="114"/>
      <c r="B60" s="115"/>
      <c r="C60" s="114"/>
      <c r="D60" s="116"/>
      <c r="E60" s="116"/>
      <c r="F60" s="116"/>
      <c r="G60" s="117"/>
      <c r="H60" s="114"/>
      <c r="I60" s="114"/>
      <c r="J60" s="114"/>
      <c r="K60" s="114"/>
      <c r="L60" s="114"/>
    </row>
    <row r="61" spans="1:12" ht="12.75">
      <c r="A61" s="114"/>
      <c r="B61" s="115"/>
      <c r="C61" s="114"/>
      <c r="D61" s="116"/>
      <c r="E61" s="116"/>
      <c r="F61" s="116"/>
      <c r="G61" s="117"/>
      <c r="H61" s="114"/>
      <c r="I61" s="114"/>
      <c r="J61" s="114"/>
      <c r="K61" s="114"/>
      <c r="L61" s="114"/>
    </row>
    <row r="62" spans="1:12" ht="12.75">
      <c r="A62" s="114"/>
      <c r="B62" s="115"/>
      <c r="C62" s="114"/>
      <c r="D62" s="116"/>
      <c r="E62" s="116"/>
      <c r="F62" s="116"/>
      <c r="G62" s="117"/>
      <c r="H62" s="114"/>
      <c r="I62" s="114"/>
      <c r="J62" s="114"/>
      <c r="K62" s="114"/>
      <c r="L62" s="114"/>
    </row>
    <row r="66" spans="1:4" ht="12.75">
      <c r="A66" s="5"/>
      <c r="B66" s="25"/>
      <c r="C66" s="25"/>
      <c r="D66" s="25"/>
    </row>
    <row r="67" spans="1:4" ht="12.75">
      <c r="A67" s="5"/>
      <c r="B67" s="25"/>
      <c r="C67" s="25"/>
      <c r="D67" s="25"/>
    </row>
    <row r="68" spans="1:4" ht="12.75">
      <c r="A68" s="5"/>
      <c r="B68" s="25"/>
      <c r="C68" s="25"/>
      <c r="D68" s="25"/>
    </row>
    <row r="69" spans="1:4" ht="12.75">
      <c r="A69" s="5"/>
      <c r="B69" s="25"/>
      <c r="C69" s="25"/>
      <c r="D69" s="25"/>
    </row>
    <row r="70" spans="1:12" ht="15.75">
      <c r="A70" s="714" t="s">
        <v>115</v>
      </c>
      <c r="B70" s="714"/>
      <c r="C70" s="714"/>
      <c r="D70" s="714"/>
      <c r="E70" s="714"/>
      <c r="F70" s="714"/>
      <c r="G70" s="714"/>
      <c r="H70" s="714"/>
      <c r="I70" s="714"/>
      <c r="J70" s="714"/>
      <c r="K70" s="714"/>
      <c r="L70" s="714"/>
    </row>
    <row r="71" spans="1:12" ht="12.75">
      <c r="A71" s="715" t="s">
        <v>27</v>
      </c>
      <c r="B71" s="715"/>
      <c r="C71" s="715"/>
      <c r="D71" s="715"/>
      <c r="E71" s="715"/>
      <c r="F71" s="715"/>
      <c r="G71" s="715"/>
      <c r="H71" s="715"/>
      <c r="I71" s="715"/>
      <c r="J71" s="715"/>
      <c r="K71" s="715"/>
      <c r="L71" s="715"/>
    </row>
    <row r="72" spans="1:12" ht="12.75">
      <c r="A72" s="722" t="s">
        <v>1</v>
      </c>
      <c r="B72" s="722"/>
      <c r="C72" s="722"/>
      <c r="D72" s="722"/>
      <c r="E72" s="722"/>
      <c r="F72" s="722"/>
      <c r="G72" s="722"/>
      <c r="H72" s="722"/>
      <c r="I72" s="722"/>
      <c r="J72" s="722"/>
      <c r="K72" s="722"/>
      <c r="L72" s="722"/>
    </row>
    <row r="73" spans="1:12" ht="12.75">
      <c r="A73" s="715" t="s">
        <v>225</v>
      </c>
      <c r="B73" s="715"/>
      <c r="C73" s="715"/>
      <c r="D73" s="715"/>
      <c r="E73" s="715"/>
      <c r="F73" s="715"/>
      <c r="G73" s="715"/>
      <c r="H73" s="715"/>
      <c r="I73" s="715"/>
      <c r="J73" s="715"/>
      <c r="K73" s="715"/>
      <c r="L73" s="715"/>
    </row>
    <row r="74" spans="1:12" ht="12.75">
      <c r="A74" s="715" t="s">
        <v>2</v>
      </c>
      <c r="B74" s="715"/>
      <c r="C74" s="715"/>
      <c r="D74" s="715"/>
      <c r="E74" s="715"/>
      <c r="F74" s="715"/>
      <c r="G74" s="715"/>
      <c r="H74" s="715"/>
      <c r="I74" s="715"/>
      <c r="J74" s="715"/>
      <c r="K74" s="715"/>
      <c r="L74" s="715"/>
    </row>
    <row r="75" spans="1:10" ht="12.75">
      <c r="A75" s="47"/>
      <c r="B75" s="47"/>
      <c r="C75" s="47"/>
      <c r="D75" s="47"/>
      <c r="E75" s="47"/>
      <c r="F75" s="47"/>
      <c r="G75" s="47"/>
      <c r="H75" s="47"/>
      <c r="I75" s="47"/>
      <c r="J75" s="47"/>
    </row>
    <row r="79" ht="13.5" thickBot="1"/>
    <row r="80" spans="1:12" ht="38.25">
      <c r="A80" s="104" t="s">
        <v>116</v>
      </c>
      <c r="B80" s="105" t="s">
        <v>117</v>
      </c>
      <c r="C80" s="105" t="s">
        <v>118</v>
      </c>
      <c r="D80" s="105" t="s">
        <v>41</v>
      </c>
      <c r="E80" s="105" t="s">
        <v>119</v>
      </c>
      <c r="F80" s="100" t="s">
        <v>151</v>
      </c>
      <c r="G80" s="100" t="s">
        <v>152</v>
      </c>
      <c r="H80" s="100" t="s">
        <v>393</v>
      </c>
      <c r="I80" s="100" t="s">
        <v>448</v>
      </c>
      <c r="J80" s="100" t="s">
        <v>394</v>
      </c>
      <c r="K80" s="100" t="s">
        <v>396</v>
      </c>
      <c r="L80" s="100" t="s">
        <v>397</v>
      </c>
    </row>
    <row r="81" spans="1:12" ht="12.75">
      <c r="A81" s="336">
        <v>42761</v>
      </c>
      <c r="B81" s="335" t="s">
        <v>454</v>
      </c>
      <c r="C81" s="335">
        <v>1</v>
      </c>
      <c r="D81" s="335" t="s">
        <v>457</v>
      </c>
      <c r="E81" s="335" t="s">
        <v>455</v>
      </c>
      <c r="F81" s="337">
        <v>5333.6</v>
      </c>
      <c r="G81" s="107">
        <f aca="true" t="shared" si="0" ref="G81:G89">C81*F81</f>
        <v>5333.6</v>
      </c>
      <c r="H81" s="334"/>
      <c r="I81" s="107">
        <f aca="true" t="shared" si="1" ref="I81:I89">G81-H81</f>
        <v>5333.6</v>
      </c>
      <c r="J81" s="123">
        <f aca="true" t="shared" si="2" ref="J81:J89">I81/2*0.25</f>
        <v>666.7</v>
      </c>
      <c r="K81" s="113">
        <f aca="true" t="shared" si="3" ref="K81:K89">H81+J81</f>
        <v>666.7</v>
      </c>
      <c r="L81" s="113">
        <f aca="true" t="shared" si="4" ref="L81:L89">I81-K81</f>
        <v>4666.900000000001</v>
      </c>
    </row>
    <row r="82" spans="1:12" ht="12.75">
      <c r="A82" s="336">
        <v>42761</v>
      </c>
      <c r="B82" s="335" t="s">
        <v>454</v>
      </c>
      <c r="C82" s="333">
        <v>1</v>
      </c>
      <c r="D82" s="335" t="s">
        <v>456</v>
      </c>
      <c r="E82" s="335" t="s">
        <v>455</v>
      </c>
      <c r="F82" s="337">
        <v>8189.2</v>
      </c>
      <c r="G82" s="107">
        <f t="shared" si="0"/>
        <v>8189.2</v>
      </c>
      <c r="H82" s="334"/>
      <c r="I82" s="107">
        <f t="shared" si="1"/>
        <v>8189.2</v>
      </c>
      <c r="J82" s="123">
        <f t="shared" si="2"/>
        <v>1023.65</v>
      </c>
      <c r="K82" s="113">
        <f t="shared" si="3"/>
        <v>1023.65</v>
      </c>
      <c r="L82" s="113">
        <f t="shared" si="4"/>
        <v>7165.55</v>
      </c>
    </row>
    <row r="83" spans="1:12" ht="38.25">
      <c r="A83" s="101">
        <v>42828</v>
      </c>
      <c r="B83" s="103" t="s">
        <v>153</v>
      </c>
      <c r="C83" s="103">
        <v>4</v>
      </c>
      <c r="D83" s="102" t="s">
        <v>230</v>
      </c>
      <c r="E83" s="102" t="s">
        <v>229</v>
      </c>
      <c r="F83" s="109">
        <v>39748.3</v>
      </c>
      <c r="G83" s="107">
        <f t="shared" si="0"/>
        <v>158993.2</v>
      </c>
      <c r="H83" s="107">
        <v>0</v>
      </c>
      <c r="I83" s="107">
        <f t="shared" si="1"/>
        <v>158993.2</v>
      </c>
      <c r="J83" s="123">
        <f t="shared" si="2"/>
        <v>19874.15</v>
      </c>
      <c r="K83" s="113">
        <f t="shared" si="3"/>
        <v>19874.15</v>
      </c>
      <c r="L83" s="113">
        <f t="shared" si="4"/>
        <v>139119.05000000002</v>
      </c>
    </row>
    <row r="84" spans="1:12" ht="25.5">
      <c r="A84" s="309">
        <v>42919</v>
      </c>
      <c r="B84" s="103" t="s">
        <v>493</v>
      </c>
      <c r="C84" s="103">
        <v>3</v>
      </c>
      <c r="D84" s="102" t="s">
        <v>494</v>
      </c>
      <c r="E84" s="102" t="s">
        <v>497</v>
      </c>
      <c r="F84" s="109">
        <v>38748.84</v>
      </c>
      <c r="G84" s="107">
        <f t="shared" si="0"/>
        <v>116246.51999999999</v>
      </c>
      <c r="H84" s="107"/>
      <c r="I84" s="107">
        <f t="shared" si="1"/>
        <v>116246.51999999999</v>
      </c>
      <c r="J84" s="123">
        <f t="shared" si="2"/>
        <v>14530.814999999999</v>
      </c>
      <c r="K84" s="113">
        <f t="shared" si="3"/>
        <v>14530.814999999999</v>
      </c>
      <c r="L84" s="113">
        <f t="shared" si="4"/>
        <v>101715.70499999999</v>
      </c>
    </row>
    <row r="85" spans="1:12" ht="38.25">
      <c r="A85" s="309">
        <v>42919</v>
      </c>
      <c r="B85" s="103" t="s">
        <v>493</v>
      </c>
      <c r="C85" s="103">
        <v>18</v>
      </c>
      <c r="D85" s="102" t="s">
        <v>495</v>
      </c>
      <c r="E85" s="102" t="s">
        <v>496</v>
      </c>
      <c r="F85" s="109">
        <v>21464.2</v>
      </c>
      <c r="G85" s="107">
        <f t="shared" si="0"/>
        <v>386355.60000000003</v>
      </c>
      <c r="H85" s="107"/>
      <c r="I85" s="107">
        <f t="shared" si="1"/>
        <v>386355.60000000003</v>
      </c>
      <c r="J85" s="123">
        <f t="shared" si="2"/>
        <v>48294.450000000004</v>
      </c>
      <c r="K85" s="113">
        <f t="shared" si="3"/>
        <v>48294.450000000004</v>
      </c>
      <c r="L85" s="113">
        <f t="shared" si="4"/>
        <v>338061.15</v>
      </c>
    </row>
    <row r="86" spans="1:12" ht="12.75">
      <c r="A86" s="101"/>
      <c r="B86" s="103" t="s">
        <v>498</v>
      </c>
      <c r="C86" s="103">
        <v>2</v>
      </c>
      <c r="D86" s="102" t="s">
        <v>499</v>
      </c>
      <c r="E86" s="102" t="s">
        <v>497</v>
      </c>
      <c r="F86" s="109">
        <v>254290</v>
      </c>
      <c r="G86" s="107">
        <f t="shared" si="0"/>
        <v>508580</v>
      </c>
      <c r="H86" s="107"/>
      <c r="I86" s="107">
        <f t="shared" si="1"/>
        <v>508580</v>
      </c>
      <c r="J86" s="123">
        <f t="shared" si="2"/>
        <v>63572.5</v>
      </c>
      <c r="K86" s="113">
        <f t="shared" si="3"/>
        <v>63572.5</v>
      </c>
      <c r="L86" s="113">
        <f t="shared" si="4"/>
        <v>445007.5</v>
      </c>
    </row>
    <row r="87" spans="1:12" ht="12.75">
      <c r="A87" s="101">
        <v>42958</v>
      </c>
      <c r="B87" s="103" t="s">
        <v>153</v>
      </c>
      <c r="C87" s="103">
        <v>1</v>
      </c>
      <c r="D87" s="102" t="s">
        <v>526</v>
      </c>
      <c r="E87" s="102"/>
      <c r="F87" s="109">
        <v>11658.4</v>
      </c>
      <c r="G87" s="107">
        <f t="shared" si="0"/>
        <v>11658.4</v>
      </c>
      <c r="H87" s="107"/>
      <c r="I87" s="107">
        <f t="shared" si="1"/>
        <v>11658.4</v>
      </c>
      <c r="J87" s="123">
        <f t="shared" si="2"/>
        <v>1457.3</v>
      </c>
      <c r="K87" s="113">
        <f t="shared" si="3"/>
        <v>1457.3</v>
      </c>
      <c r="L87" s="113">
        <f t="shared" si="4"/>
        <v>10201.1</v>
      </c>
    </row>
    <row r="88" spans="1:12" ht="25.5">
      <c r="A88" s="101">
        <v>42957</v>
      </c>
      <c r="B88" s="103" t="s">
        <v>153</v>
      </c>
      <c r="C88" s="103">
        <v>34</v>
      </c>
      <c r="D88" s="102" t="s">
        <v>527</v>
      </c>
      <c r="E88" s="102" t="s">
        <v>528</v>
      </c>
      <c r="F88" s="109">
        <v>52125.32</v>
      </c>
      <c r="G88" s="107">
        <f t="shared" si="0"/>
        <v>1772260.88</v>
      </c>
      <c r="H88" s="107"/>
      <c r="I88" s="107">
        <f t="shared" si="1"/>
        <v>1772260.88</v>
      </c>
      <c r="J88" s="123">
        <f t="shared" si="2"/>
        <v>221532.61</v>
      </c>
      <c r="K88" s="113">
        <f t="shared" si="3"/>
        <v>221532.61</v>
      </c>
      <c r="L88" s="113">
        <f t="shared" si="4"/>
        <v>1550728.27</v>
      </c>
    </row>
    <row r="89" spans="1:12" ht="12.75">
      <c r="A89" s="101">
        <v>43076</v>
      </c>
      <c r="B89" s="103" t="s">
        <v>617</v>
      </c>
      <c r="C89" s="103">
        <v>1</v>
      </c>
      <c r="D89" s="102" t="s">
        <v>618</v>
      </c>
      <c r="E89" s="102" t="s">
        <v>154</v>
      </c>
      <c r="F89" s="109">
        <v>94115.9</v>
      </c>
      <c r="G89" s="107">
        <f t="shared" si="0"/>
        <v>94115.9</v>
      </c>
      <c r="H89" s="107"/>
      <c r="I89" s="107">
        <f t="shared" si="1"/>
        <v>94115.9</v>
      </c>
      <c r="J89" s="123">
        <f t="shared" si="2"/>
        <v>11764.4875</v>
      </c>
      <c r="K89" s="113">
        <f t="shared" si="3"/>
        <v>11764.4875</v>
      </c>
      <c r="L89" s="113">
        <f t="shared" si="4"/>
        <v>82351.41249999999</v>
      </c>
    </row>
    <row r="90" spans="1:12" ht="12.75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</row>
    <row r="91" spans="1:12" ht="13.5" thickBot="1">
      <c r="A91" s="405"/>
      <c r="B91" s="406"/>
      <c r="C91" s="406"/>
      <c r="D91" s="407" t="s">
        <v>157</v>
      </c>
      <c r="E91" s="407"/>
      <c r="F91" s="408">
        <f>SUM(F81:F90)</f>
        <v>525673.76</v>
      </c>
      <c r="G91" s="409">
        <f>SUM(G81:G90)</f>
        <v>3061733.3</v>
      </c>
      <c r="H91" s="410"/>
      <c r="I91" s="411">
        <f>SUM(I81:I90)</f>
        <v>3061733.3</v>
      </c>
      <c r="J91" s="412">
        <f>SUM(J81:J90)</f>
        <v>382716.6625</v>
      </c>
      <c r="K91" s="413">
        <f>SUM(K81:K90)</f>
        <v>382716.6625</v>
      </c>
      <c r="L91" s="414">
        <f>SUM(L81:L90)</f>
        <v>2679016.6375</v>
      </c>
    </row>
    <row r="92" spans="6:7" ht="12.75">
      <c r="F92" s="349"/>
      <c r="G92" s="7"/>
    </row>
    <row r="93" spans="7:9" ht="15">
      <c r="G93" s="341">
        <f>G91-2978088.72</f>
        <v>83644.57999999961</v>
      </c>
      <c r="I93" s="118"/>
    </row>
    <row r="94" ht="12.75">
      <c r="G94" s="7"/>
    </row>
    <row r="95" ht="12.75">
      <c r="G95" s="7"/>
    </row>
    <row r="96" ht="12.75">
      <c r="G96" s="118">
        <f>G95-G93</f>
        <v>-83644.57999999961</v>
      </c>
    </row>
    <row r="97" spans="1:8" ht="12.75">
      <c r="A97" s="1"/>
      <c r="G97" s="119"/>
      <c r="H97" s="118"/>
    </row>
    <row r="98" spans="1:7" ht="12.75">
      <c r="A98" s="1"/>
      <c r="B98" s="1"/>
      <c r="C98" s="1"/>
      <c r="D98" s="1"/>
      <c r="E98" s="1"/>
      <c r="F98" s="1"/>
      <c r="G98" s="7"/>
    </row>
    <row r="103" spans="1:4" ht="12.75">
      <c r="A103" s="5"/>
      <c r="B103" s="25"/>
      <c r="C103" s="25"/>
      <c r="D103" s="25"/>
    </row>
    <row r="104" spans="1:4" ht="12.75">
      <c r="A104" s="5"/>
      <c r="B104" s="25"/>
      <c r="C104" s="25"/>
      <c r="D104" s="25"/>
    </row>
    <row r="105" spans="1:4" ht="12.75">
      <c r="A105" s="5"/>
      <c r="B105" s="25"/>
      <c r="C105" s="25"/>
      <c r="D105" s="25"/>
    </row>
    <row r="106" spans="1:4" ht="12.75">
      <c r="A106" s="5"/>
      <c r="B106" s="25"/>
      <c r="C106" s="25"/>
      <c r="D106" s="25"/>
    </row>
    <row r="107" spans="1:12" ht="15.75">
      <c r="A107" s="714" t="s">
        <v>115</v>
      </c>
      <c r="B107" s="714"/>
      <c r="C107" s="714"/>
      <c r="D107" s="714"/>
      <c r="E107" s="714"/>
      <c r="F107" s="714"/>
      <c r="G107" s="714"/>
      <c r="H107" s="714"/>
      <c r="I107" s="714"/>
      <c r="J107" s="714"/>
      <c r="K107" s="714"/>
      <c r="L107" s="714"/>
    </row>
    <row r="108" spans="1:12" ht="12.75">
      <c r="A108" s="715" t="s">
        <v>449</v>
      </c>
      <c r="B108" s="715"/>
      <c r="C108" s="715"/>
      <c r="D108" s="715"/>
      <c r="E108" s="715"/>
      <c r="F108" s="715"/>
      <c r="G108" s="715"/>
      <c r="H108" s="715"/>
      <c r="I108" s="715"/>
      <c r="J108" s="715"/>
      <c r="K108" s="715"/>
      <c r="L108" s="715"/>
    </row>
    <row r="109" spans="1:12" ht="12.75">
      <c r="A109" s="722" t="s">
        <v>1</v>
      </c>
      <c r="B109" s="722"/>
      <c r="C109" s="722"/>
      <c r="D109" s="722"/>
      <c r="E109" s="722"/>
      <c r="F109" s="722"/>
      <c r="G109" s="722"/>
      <c r="H109" s="722"/>
      <c r="I109" s="722"/>
      <c r="J109" s="722"/>
      <c r="K109" s="722"/>
      <c r="L109" s="722"/>
    </row>
    <row r="110" spans="1:12" ht="12.75">
      <c r="A110" s="715" t="s">
        <v>225</v>
      </c>
      <c r="B110" s="715"/>
      <c r="C110" s="715"/>
      <c r="D110" s="715"/>
      <c r="E110" s="715"/>
      <c r="F110" s="715"/>
      <c r="G110" s="715"/>
      <c r="H110" s="715"/>
      <c r="I110" s="715"/>
      <c r="J110" s="715"/>
      <c r="K110" s="715"/>
      <c r="L110" s="715"/>
    </row>
    <row r="111" spans="1:12" ht="12.75">
      <c r="A111" s="715" t="s">
        <v>2</v>
      </c>
      <c r="B111" s="715"/>
      <c r="C111" s="715"/>
      <c r="D111" s="715"/>
      <c r="E111" s="715"/>
      <c r="F111" s="715"/>
      <c r="G111" s="715"/>
      <c r="H111" s="715"/>
      <c r="I111" s="715"/>
      <c r="J111" s="715"/>
      <c r="K111" s="715"/>
      <c r="L111" s="715"/>
    </row>
    <row r="112" spans="1:4" ht="12.75">
      <c r="A112" s="47"/>
      <c r="B112" s="47"/>
      <c r="C112" s="47"/>
      <c r="D112" s="47"/>
    </row>
    <row r="116" ht="13.5" thickBot="1"/>
    <row r="117" spans="1:12" ht="38.25">
      <c r="A117" s="104" t="s">
        <v>116</v>
      </c>
      <c r="B117" s="105" t="s">
        <v>117</v>
      </c>
      <c r="C117" s="105" t="s">
        <v>118</v>
      </c>
      <c r="D117" s="105" t="s">
        <v>41</v>
      </c>
      <c r="E117" s="105" t="s">
        <v>119</v>
      </c>
      <c r="F117" s="100" t="s">
        <v>151</v>
      </c>
      <c r="G117" s="100" t="s">
        <v>152</v>
      </c>
      <c r="H117" s="100" t="s">
        <v>393</v>
      </c>
      <c r="I117" s="100" t="s">
        <v>453</v>
      </c>
      <c r="J117" s="100" t="s">
        <v>394</v>
      </c>
      <c r="K117" s="100" t="s">
        <v>396</v>
      </c>
      <c r="L117" s="100" t="s">
        <v>397</v>
      </c>
    </row>
    <row r="118" spans="1:12" ht="38.25">
      <c r="A118" s="101">
        <v>42886</v>
      </c>
      <c r="B118" s="103" t="s">
        <v>450</v>
      </c>
      <c r="C118" s="103">
        <v>1</v>
      </c>
      <c r="D118" s="102" t="s">
        <v>451</v>
      </c>
      <c r="E118" s="102" t="s">
        <v>452</v>
      </c>
      <c r="F118" s="109">
        <v>435373.27</v>
      </c>
      <c r="G118" s="107">
        <f>F118*C118</f>
        <v>435373.27</v>
      </c>
      <c r="H118" s="107">
        <v>0</v>
      </c>
      <c r="I118" s="108">
        <f>G118-H118</f>
        <v>435373.27</v>
      </c>
      <c r="J118" s="109">
        <f>I118/2*0.25</f>
        <v>54421.65875</v>
      </c>
      <c r="K118" s="113">
        <f>H118+J118</f>
        <v>54421.65875</v>
      </c>
      <c r="L118" s="113">
        <f>G118-J118</f>
        <v>380951.61125</v>
      </c>
    </row>
    <row r="119" spans="1:12" ht="25.5">
      <c r="A119" s="101">
        <v>42949</v>
      </c>
      <c r="B119" s="103" t="s">
        <v>525</v>
      </c>
      <c r="C119" s="103">
        <v>1</v>
      </c>
      <c r="D119" s="102" t="s">
        <v>523</v>
      </c>
      <c r="E119" s="102" t="s">
        <v>522</v>
      </c>
      <c r="F119" s="109">
        <v>32120.22</v>
      </c>
      <c r="G119" s="107">
        <f>F119*C119</f>
        <v>32120.22</v>
      </c>
      <c r="H119" s="107"/>
      <c r="I119" s="108">
        <f>G119-H119</f>
        <v>32120.22</v>
      </c>
      <c r="J119" s="109">
        <f>I119/2*0.25</f>
        <v>4015.0275</v>
      </c>
      <c r="K119" s="113"/>
      <c r="L119" s="113"/>
    </row>
    <row r="120" spans="1:12" ht="25.5">
      <c r="A120" s="101">
        <v>42949</v>
      </c>
      <c r="B120" s="103" t="s">
        <v>525</v>
      </c>
      <c r="C120" s="103">
        <v>1</v>
      </c>
      <c r="D120" s="102" t="s">
        <v>524</v>
      </c>
      <c r="E120" s="102" t="s">
        <v>522</v>
      </c>
      <c r="F120" s="109">
        <v>25559.98</v>
      </c>
      <c r="G120" s="107">
        <f>F120*C120</f>
        <v>25559.98</v>
      </c>
      <c r="H120" s="107"/>
      <c r="I120" s="108">
        <f>G120-H120</f>
        <v>25559.98</v>
      </c>
      <c r="J120" s="109">
        <f>I120/2*0.25</f>
        <v>3194.9975</v>
      </c>
      <c r="K120" s="113"/>
      <c r="L120" s="113"/>
    </row>
    <row r="121" spans="1:12" ht="12.75">
      <c r="A121" s="101"/>
      <c r="B121" s="103"/>
      <c r="C121" s="103"/>
      <c r="D121" s="102"/>
      <c r="E121" s="102"/>
      <c r="F121" s="109"/>
      <c r="G121" s="107"/>
      <c r="H121" s="107"/>
      <c r="I121" s="108"/>
      <c r="J121" s="109"/>
      <c r="K121" s="113"/>
      <c r="L121" s="113"/>
    </row>
    <row r="122" spans="1:12" ht="12.75">
      <c r="A122" s="309"/>
      <c r="B122" s="310"/>
      <c r="C122" s="310"/>
      <c r="D122" s="311"/>
      <c r="E122" s="310"/>
      <c r="F122" s="120"/>
      <c r="G122" s="107">
        <f>F122*C122</f>
        <v>0</v>
      </c>
      <c r="H122" s="55"/>
      <c r="I122" s="108">
        <f>G122-H122</f>
        <v>0</v>
      </c>
      <c r="J122" s="109">
        <f>I122/2*0.25</f>
        <v>0</v>
      </c>
      <c r="K122" s="312">
        <f>H122+J122</f>
        <v>0</v>
      </c>
      <c r="L122" s="312">
        <f>G122-J122</f>
        <v>0</v>
      </c>
    </row>
    <row r="123" ht="13.5" thickBot="1"/>
    <row r="124" spans="1:12" ht="15.75" thickBot="1">
      <c r="A124" s="112"/>
      <c r="B124" s="111"/>
      <c r="C124" s="111"/>
      <c r="D124" s="314" t="s">
        <v>458</v>
      </c>
      <c r="E124" s="314"/>
      <c r="F124" s="313"/>
      <c r="G124" s="429">
        <f>SUBTOTAL(9,G118:G123)</f>
        <v>493053.47</v>
      </c>
      <c r="H124" s="315"/>
      <c r="I124" s="315"/>
      <c r="J124" s="316">
        <f>SUBTOTAL(9,J118:J123)</f>
        <v>61631.68375</v>
      </c>
      <c r="K124" s="317"/>
      <c r="L124" s="318">
        <f>SUBTOTAL(9,L118:L123)</f>
        <v>380951.61125</v>
      </c>
    </row>
    <row r="125" spans="1:7" ht="12.75">
      <c r="A125" s="110"/>
      <c r="B125" s="1"/>
      <c r="C125" s="1"/>
      <c r="D125" s="1"/>
      <c r="E125" s="1"/>
      <c r="F125" s="1"/>
      <c r="G125" s="1"/>
    </row>
    <row r="129" ht="12.75">
      <c r="G129" s="118"/>
    </row>
    <row r="144" spans="1:4" ht="12.75">
      <c r="A144" s="5"/>
      <c r="B144" s="25"/>
      <c r="C144" s="25"/>
      <c r="D144" s="25"/>
    </row>
    <row r="145" spans="1:4" ht="12.75">
      <c r="A145" s="5"/>
      <c r="B145" s="25"/>
      <c r="C145" s="25"/>
      <c r="D145" s="25"/>
    </row>
    <row r="146" spans="1:4" ht="12.75">
      <c r="A146" s="5"/>
      <c r="B146" s="25"/>
      <c r="C146" s="25"/>
      <c r="D146" s="25"/>
    </row>
    <row r="147" spans="1:4" ht="12.75">
      <c r="A147" s="5"/>
      <c r="B147" s="25"/>
      <c r="C147" s="25"/>
      <c r="D147" s="25"/>
    </row>
    <row r="148" spans="1:12" ht="15.75">
      <c r="A148" s="714" t="s">
        <v>115</v>
      </c>
      <c r="B148" s="714"/>
      <c r="C148" s="714"/>
      <c r="D148" s="714"/>
      <c r="E148" s="714"/>
      <c r="F148" s="714"/>
      <c r="G148" s="714"/>
      <c r="H148" s="714"/>
      <c r="I148" s="714"/>
      <c r="J148" s="714"/>
      <c r="K148" s="714"/>
      <c r="L148" s="714"/>
    </row>
    <row r="149" spans="1:12" ht="12.75">
      <c r="A149" s="715" t="s">
        <v>470</v>
      </c>
      <c r="B149" s="715"/>
      <c r="C149" s="715"/>
      <c r="D149" s="715"/>
      <c r="E149" s="715"/>
      <c r="F149" s="715"/>
      <c r="G149" s="715"/>
      <c r="H149" s="715"/>
      <c r="I149" s="715"/>
      <c r="J149" s="715"/>
      <c r="K149" s="715"/>
      <c r="L149" s="715"/>
    </row>
    <row r="150" spans="1:12" ht="12.75">
      <c r="A150" s="722" t="s">
        <v>1</v>
      </c>
      <c r="B150" s="722"/>
      <c r="C150" s="722"/>
      <c r="D150" s="722"/>
      <c r="E150" s="722"/>
      <c r="F150" s="722"/>
      <c r="G150" s="722"/>
      <c r="H150" s="722"/>
      <c r="I150" s="722"/>
      <c r="J150" s="722"/>
      <c r="K150" s="722"/>
      <c r="L150" s="722"/>
    </row>
    <row r="151" spans="1:12" ht="12.75">
      <c r="A151" s="715" t="s">
        <v>225</v>
      </c>
      <c r="B151" s="715"/>
      <c r="C151" s="715"/>
      <c r="D151" s="715"/>
      <c r="E151" s="715"/>
      <c r="F151" s="715"/>
      <c r="G151" s="715"/>
      <c r="H151" s="715"/>
      <c r="I151" s="715"/>
      <c r="J151" s="715"/>
      <c r="K151" s="715"/>
      <c r="L151" s="715"/>
    </row>
    <row r="152" spans="1:12" ht="12.75">
      <c r="A152" s="715" t="s">
        <v>2</v>
      </c>
      <c r="B152" s="715"/>
      <c r="C152" s="715"/>
      <c r="D152" s="715"/>
      <c r="E152" s="715"/>
      <c r="F152" s="715"/>
      <c r="G152" s="715"/>
      <c r="H152" s="715"/>
      <c r="I152" s="715"/>
      <c r="J152" s="715"/>
      <c r="K152" s="715"/>
      <c r="L152" s="715"/>
    </row>
    <row r="153" spans="1:4" ht="12.75">
      <c r="A153" s="47"/>
      <c r="B153" s="47"/>
      <c r="C153" s="47"/>
      <c r="D153" s="47"/>
    </row>
    <row r="157" ht="13.5" thickBot="1"/>
    <row r="158" spans="1:12" ht="38.25">
      <c r="A158" s="104" t="s">
        <v>116</v>
      </c>
      <c r="B158" s="105" t="s">
        <v>117</v>
      </c>
      <c r="C158" s="105" t="s">
        <v>118</v>
      </c>
      <c r="D158" s="105" t="s">
        <v>41</v>
      </c>
      <c r="E158" s="105" t="s">
        <v>119</v>
      </c>
      <c r="F158" s="100" t="s">
        <v>151</v>
      </c>
      <c r="G158" s="100" t="s">
        <v>152</v>
      </c>
      <c r="H158" s="100" t="s">
        <v>393</v>
      </c>
      <c r="I158" s="100" t="s">
        <v>453</v>
      </c>
      <c r="J158" s="100" t="s">
        <v>394</v>
      </c>
      <c r="K158" s="100" t="s">
        <v>396</v>
      </c>
      <c r="L158" s="100" t="s">
        <v>397</v>
      </c>
    </row>
    <row r="159" spans="1:12" ht="25.5">
      <c r="A159" s="101">
        <v>42906</v>
      </c>
      <c r="B159" s="103" t="s">
        <v>459</v>
      </c>
      <c r="C159" s="103">
        <v>1</v>
      </c>
      <c r="D159" s="102" t="s">
        <v>463</v>
      </c>
      <c r="E159" s="102" t="s">
        <v>460</v>
      </c>
      <c r="F159" s="109">
        <v>19470</v>
      </c>
      <c r="G159" s="107">
        <f>F159*C159</f>
        <v>19470</v>
      </c>
      <c r="H159" s="107">
        <v>0</v>
      </c>
      <c r="I159" s="108">
        <f>G159-H159</f>
        <v>19470</v>
      </c>
      <c r="J159" s="109">
        <f>I159/2*0.25</f>
        <v>2433.75</v>
      </c>
      <c r="K159" s="113">
        <f>H159+J159</f>
        <v>2433.75</v>
      </c>
      <c r="L159" s="113">
        <f>G159-J159</f>
        <v>17036.25</v>
      </c>
    </row>
    <row r="160" spans="1:12" ht="25.5">
      <c r="A160" s="101">
        <v>42906</v>
      </c>
      <c r="B160" s="103" t="s">
        <v>459</v>
      </c>
      <c r="C160" s="103">
        <v>1</v>
      </c>
      <c r="D160" s="102" t="s">
        <v>464</v>
      </c>
      <c r="E160" s="102" t="s">
        <v>460</v>
      </c>
      <c r="F160" s="109">
        <v>6490</v>
      </c>
      <c r="G160" s="107">
        <f aca="true" t="shared" si="5" ref="G160:G166">F160*C160</f>
        <v>6490</v>
      </c>
      <c r="H160" s="107">
        <v>0</v>
      </c>
      <c r="I160" s="108">
        <f aca="true" t="shared" si="6" ref="I160:I166">G160-H160</f>
        <v>6490</v>
      </c>
      <c r="J160" s="109">
        <f aca="true" t="shared" si="7" ref="J160:J170">I160/2*0.25</f>
        <v>811.25</v>
      </c>
      <c r="K160" s="113">
        <f aca="true" t="shared" si="8" ref="K160:K166">H160+J160</f>
        <v>811.25</v>
      </c>
      <c r="L160" s="113">
        <f aca="true" t="shared" si="9" ref="L160:L166">G160-J160</f>
        <v>5678.75</v>
      </c>
    </row>
    <row r="161" spans="1:12" ht="38.25">
      <c r="A161" s="101">
        <v>42906</v>
      </c>
      <c r="B161" s="103" t="s">
        <v>459</v>
      </c>
      <c r="C161" s="103">
        <v>1</v>
      </c>
      <c r="D161" s="102" t="s">
        <v>461</v>
      </c>
      <c r="E161" s="102" t="s">
        <v>460</v>
      </c>
      <c r="F161" s="109">
        <v>6490</v>
      </c>
      <c r="G161" s="107">
        <f t="shared" si="5"/>
        <v>6490</v>
      </c>
      <c r="H161" s="107">
        <v>0</v>
      </c>
      <c r="I161" s="108">
        <f t="shared" si="6"/>
        <v>6490</v>
      </c>
      <c r="J161" s="109">
        <f t="shared" si="7"/>
        <v>811.25</v>
      </c>
      <c r="K161" s="113">
        <f t="shared" si="8"/>
        <v>811.25</v>
      </c>
      <c r="L161" s="113">
        <f t="shared" si="9"/>
        <v>5678.75</v>
      </c>
    </row>
    <row r="162" spans="1:12" ht="38.25">
      <c r="A162" s="101">
        <v>42906</v>
      </c>
      <c r="B162" s="103" t="s">
        <v>459</v>
      </c>
      <c r="C162" s="103">
        <v>1</v>
      </c>
      <c r="D162" s="102" t="s">
        <v>462</v>
      </c>
      <c r="E162" s="102" t="s">
        <v>460</v>
      </c>
      <c r="F162" s="109">
        <v>17700</v>
      </c>
      <c r="G162" s="107">
        <f t="shared" si="5"/>
        <v>17700</v>
      </c>
      <c r="H162" s="107">
        <v>0</v>
      </c>
      <c r="I162" s="108">
        <f t="shared" si="6"/>
        <v>17700</v>
      </c>
      <c r="J162" s="109">
        <f t="shared" si="7"/>
        <v>2212.5</v>
      </c>
      <c r="K162" s="113">
        <f t="shared" si="8"/>
        <v>2212.5</v>
      </c>
      <c r="L162" s="113">
        <f t="shared" si="9"/>
        <v>15487.5</v>
      </c>
    </row>
    <row r="163" spans="1:12" ht="38.25">
      <c r="A163" s="101">
        <v>42906</v>
      </c>
      <c r="B163" s="103" t="s">
        <v>459</v>
      </c>
      <c r="C163" s="103">
        <v>1</v>
      </c>
      <c r="D163" s="102" t="s">
        <v>465</v>
      </c>
      <c r="E163" s="102" t="s">
        <v>460</v>
      </c>
      <c r="F163" s="109">
        <v>14160</v>
      </c>
      <c r="G163" s="107">
        <f t="shared" si="5"/>
        <v>14160</v>
      </c>
      <c r="H163" s="107">
        <v>0</v>
      </c>
      <c r="I163" s="108">
        <f t="shared" si="6"/>
        <v>14160</v>
      </c>
      <c r="J163" s="109">
        <f t="shared" si="7"/>
        <v>1770</v>
      </c>
      <c r="K163" s="113">
        <f t="shared" si="8"/>
        <v>1770</v>
      </c>
      <c r="L163" s="113">
        <f t="shared" si="9"/>
        <v>12390</v>
      </c>
    </row>
    <row r="164" spans="1:12" ht="38.25">
      <c r="A164" s="101">
        <v>42906</v>
      </c>
      <c r="B164" s="103" t="s">
        <v>459</v>
      </c>
      <c r="C164" s="103">
        <v>1</v>
      </c>
      <c r="D164" s="102" t="s">
        <v>466</v>
      </c>
      <c r="E164" s="102" t="s">
        <v>460</v>
      </c>
      <c r="F164" s="109">
        <v>10867.8</v>
      </c>
      <c r="G164" s="107">
        <f t="shared" si="5"/>
        <v>10867.8</v>
      </c>
      <c r="H164" s="107">
        <v>0</v>
      </c>
      <c r="I164" s="108">
        <f t="shared" si="6"/>
        <v>10867.8</v>
      </c>
      <c r="J164" s="109">
        <f t="shared" si="7"/>
        <v>1358.475</v>
      </c>
      <c r="K164" s="113">
        <f t="shared" si="8"/>
        <v>1358.475</v>
      </c>
      <c r="L164" s="113">
        <f t="shared" si="9"/>
        <v>9509.324999999999</v>
      </c>
    </row>
    <row r="165" spans="1:12" ht="25.5">
      <c r="A165" s="101">
        <v>42906</v>
      </c>
      <c r="B165" s="103" t="s">
        <v>459</v>
      </c>
      <c r="C165" s="103">
        <v>2</v>
      </c>
      <c r="D165" s="102" t="s">
        <v>467</v>
      </c>
      <c r="E165" s="102" t="s">
        <v>460</v>
      </c>
      <c r="F165" s="109">
        <v>9794</v>
      </c>
      <c r="G165" s="107">
        <f t="shared" si="5"/>
        <v>19588</v>
      </c>
      <c r="H165" s="107">
        <v>0</v>
      </c>
      <c r="I165" s="108">
        <f t="shared" si="6"/>
        <v>19588</v>
      </c>
      <c r="J165" s="109">
        <f t="shared" si="7"/>
        <v>2448.5</v>
      </c>
      <c r="K165" s="113">
        <f t="shared" si="8"/>
        <v>2448.5</v>
      </c>
      <c r="L165" s="113">
        <f t="shared" si="9"/>
        <v>17139.5</v>
      </c>
    </row>
    <row r="166" spans="1:12" ht="38.25">
      <c r="A166" s="101">
        <v>42906</v>
      </c>
      <c r="B166" s="103" t="s">
        <v>459</v>
      </c>
      <c r="C166" s="103">
        <v>4</v>
      </c>
      <c r="D166" s="102" t="s">
        <v>468</v>
      </c>
      <c r="E166" s="102" t="s">
        <v>460</v>
      </c>
      <c r="F166" s="109">
        <v>4484</v>
      </c>
      <c r="G166" s="107">
        <f t="shared" si="5"/>
        <v>17936</v>
      </c>
      <c r="H166" s="107">
        <v>0</v>
      </c>
      <c r="I166" s="108">
        <f t="shared" si="6"/>
        <v>17936</v>
      </c>
      <c r="J166" s="109">
        <f t="shared" si="7"/>
        <v>2242</v>
      </c>
      <c r="K166" s="113">
        <f t="shared" si="8"/>
        <v>2242</v>
      </c>
      <c r="L166" s="113">
        <f t="shared" si="9"/>
        <v>15694</v>
      </c>
    </row>
    <row r="167" spans="1:12" ht="25.5">
      <c r="A167" s="101"/>
      <c r="B167" s="103" t="s">
        <v>473</v>
      </c>
      <c r="C167" s="103">
        <v>1</v>
      </c>
      <c r="D167" s="102" t="s">
        <v>471</v>
      </c>
      <c r="E167" s="102" t="s">
        <v>472</v>
      </c>
      <c r="F167" s="109">
        <v>205320</v>
      </c>
      <c r="G167" s="107">
        <f>F167*C167</f>
        <v>205320</v>
      </c>
      <c r="H167" s="107">
        <v>0</v>
      </c>
      <c r="I167" s="108">
        <f>G167-H167</f>
        <v>205320</v>
      </c>
      <c r="J167" s="109">
        <f t="shared" si="7"/>
        <v>25665</v>
      </c>
      <c r="K167" s="113">
        <f>H167+J167</f>
        <v>25665</v>
      </c>
      <c r="L167" s="113">
        <f>G167-J167</f>
        <v>179655</v>
      </c>
    </row>
    <row r="168" spans="1:12" ht="25.5">
      <c r="A168" s="101">
        <v>43014</v>
      </c>
      <c r="B168" s="103" t="s">
        <v>588</v>
      </c>
      <c r="C168" s="103">
        <v>55</v>
      </c>
      <c r="D168" s="102" t="s">
        <v>589</v>
      </c>
      <c r="E168" s="102" t="s">
        <v>154</v>
      </c>
      <c r="F168" s="109">
        <v>10729.45</v>
      </c>
      <c r="G168" s="107">
        <f>F168*C168</f>
        <v>590119.75</v>
      </c>
      <c r="H168" s="107"/>
      <c r="I168" s="108">
        <f>G168-H168</f>
        <v>590119.75</v>
      </c>
      <c r="J168" s="109">
        <f t="shared" si="7"/>
        <v>73764.96875</v>
      </c>
      <c r="K168" s="113"/>
      <c r="L168" s="113"/>
    </row>
    <row r="169" spans="1:12" ht="38.25">
      <c r="A169" s="101">
        <v>43014</v>
      </c>
      <c r="B169" s="103" t="s">
        <v>588</v>
      </c>
      <c r="C169" s="103">
        <v>45</v>
      </c>
      <c r="D169" s="102" t="s">
        <v>591</v>
      </c>
      <c r="E169" s="102" t="s">
        <v>154</v>
      </c>
      <c r="F169" s="109">
        <v>10696.7</v>
      </c>
      <c r="G169" s="107">
        <f>F169*C169</f>
        <v>481351.50000000006</v>
      </c>
      <c r="H169" s="107"/>
      <c r="I169" s="108">
        <f>G169-H169</f>
        <v>481351.50000000006</v>
      </c>
      <c r="J169" s="109">
        <f t="shared" si="7"/>
        <v>60168.93750000001</v>
      </c>
      <c r="K169" s="113"/>
      <c r="L169" s="113"/>
    </row>
    <row r="170" spans="1:12" ht="38.25">
      <c r="A170" s="101">
        <v>43014</v>
      </c>
      <c r="B170" s="103" t="s">
        <v>588</v>
      </c>
      <c r="C170" s="103">
        <v>1</v>
      </c>
      <c r="D170" s="102" t="s">
        <v>590</v>
      </c>
      <c r="E170" s="102" t="s">
        <v>154</v>
      </c>
      <c r="F170" s="109">
        <v>29771.11</v>
      </c>
      <c r="G170" s="107">
        <f>F170*C170</f>
        <v>29771.11</v>
      </c>
      <c r="H170" s="107"/>
      <c r="I170" s="108">
        <f>G170-H170</f>
        <v>29771.11</v>
      </c>
      <c r="J170" s="109">
        <f t="shared" si="7"/>
        <v>3721.38875</v>
      </c>
      <c r="K170" s="113"/>
      <c r="L170" s="113"/>
    </row>
    <row r="171" spans="1:12" ht="12.75">
      <c r="A171" s="101"/>
      <c r="B171" s="103"/>
      <c r="C171" s="103"/>
      <c r="D171" s="102"/>
      <c r="E171" s="102"/>
      <c r="F171" s="109"/>
      <c r="G171" s="107"/>
      <c r="H171" s="107"/>
      <c r="I171" s="108"/>
      <c r="J171" s="109"/>
      <c r="K171" s="113"/>
      <c r="L171" s="113"/>
    </row>
    <row r="172" spans="1:12" ht="12.75">
      <c r="A172" s="101"/>
      <c r="B172" s="103"/>
      <c r="C172" s="103"/>
      <c r="D172" s="102"/>
      <c r="E172" s="102"/>
      <c r="F172" s="109"/>
      <c r="G172" s="107"/>
      <c r="H172" s="107"/>
      <c r="I172" s="108"/>
      <c r="J172" s="109"/>
      <c r="K172" s="113"/>
      <c r="L172" s="113"/>
    </row>
    <row r="173" spans="1:12" ht="12.75">
      <c r="A173" s="101"/>
      <c r="B173" s="103"/>
      <c r="C173" s="103"/>
      <c r="D173" s="102"/>
      <c r="E173" s="102"/>
      <c r="F173" s="109"/>
      <c r="G173" s="107"/>
      <c r="H173" s="107"/>
      <c r="I173" s="108"/>
      <c r="J173" s="109"/>
      <c r="K173" s="113"/>
      <c r="L173" s="113"/>
    </row>
    <row r="174" spans="1:12" ht="12.75">
      <c r="A174" s="101"/>
      <c r="B174" s="103"/>
      <c r="C174" s="103"/>
      <c r="D174" s="102"/>
      <c r="E174" s="102"/>
      <c r="F174" s="109"/>
      <c r="G174" s="107"/>
      <c r="H174" s="107"/>
      <c r="I174" s="108"/>
      <c r="J174" s="109"/>
      <c r="K174" s="113"/>
      <c r="L174" s="113"/>
    </row>
    <row r="175" spans="1:12" ht="12.75">
      <c r="A175" s="101"/>
      <c r="B175" s="103"/>
      <c r="C175" s="103"/>
      <c r="D175" s="102"/>
      <c r="E175" s="102"/>
      <c r="F175" s="109"/>
      <c r="G175" s="107"/>
      <c r="H175" s="107"/>
      <c r="I175" s="108"/>
      <c r="J175" s="109"/>
      <c r="K175" s="113"/>
      <c r="L175" s="113"/>
    </row>
    <row r="176" spans="1:12" ht="12.75">
      <c r="A176" s="309"/>
      <c r="B176" s="310"/>
      <c r="C176" s="310"/>
      <c r="D176" s="311"/>
      <c r="E176" s="310"/>
      <c r="F176" s="120"/>
      <c r="G176" s="107">
        <f>F176*C176</f>
        <v>0</v>
      </c>
      <c r="H176" s="55"/>
      <c r="I176" s="108">
        <f>G176-H176</f>
        <v>0</v>
      </c>
      <c r="J176" s="109">
        <f>I176/2*0.25</f>
        <v>0</v>
      </c>
      <c r="K176" s="312">
        <f>H176+J176</f>
        <v>0</v>
      </c>
      <c r="L176" s="312">
        <f>G176-J176</f>
        <v>0</v>
      </c>
    </row>
    <row r="177" ht="13.5" thickBot="1"/>
    <row r="178" spans="1:12" ht="15.75" thickBot="1">
      <c r="A178" s="112"/>
      <c r="B178" s="111"/>
      <c r="C178" s="111"/>
      <c r="D178" s="314" t="s">
        <v>469</v>
      </c>
      <c r="E178" s="314"/>
      <c r="F178" s="313"/>
      <c r="G178" s="430">
        <f>SUBTOTAL(9,G159:G177)</f>
        <v>1419264.1600000001</v>
      </c>
      <c r="H178" s="315"/>
      <c r="I178" s="315"/>
      <c r="J178" s="316">
        <f>SUBTOTAL(9,J159:J177)</f>
        <v>177408.02000000002</v>
      </c>
      <c r="K178" s="317"/>
      <c r="L178" s="318">
        <f>SUBTOTAL(9,L159:L177)</f>
        <v>278269.075</v>
      </c>
    </row>
    <row r="179" spans="1:7" ht="12.75">
      <c r="A179" s="110"/>
      <c r="B179" s="1"/>
      <c r="C179" s="1"/>
      <c r="D179" s="1"/>
      <c r="E179" s="1"/>
      <c r="F179" s="1"/>
      <c r="G179" s="1"/>
    </row>
    <row r="197" spans="1:4" ht="12.75">
      <c r="A197" s="5"/>
      <c r="B197" s="25"/>
      <c r="C197" s="25"/>
      <c r="D197" s="25"/>
    </row>
    <row r="198" spans="1:4" ht="12.75">
      <c r="A198" s="5"/>
      <c r="B198" s="25"/>
      <c r="C198" s="25"/>
      <c r="D198" s="25"/>
    </row>
    <row r="199" spans="1:4" ht="12.75">
      <c r="A199" s="5"/>
      <c r="B199" s="25"/>
      <c r="C199" s="25"/>
      <c r="D199" s="25"/>
    </row>
    <row r="200" spans="1:4" ht="12.75">
      <c r="A200" s="5"/>
      <c r="B200" s="25"/>
      <c r="C200" s="25"/>
      <c r="D200" s="25"/>
    </row>
    <row r="201" spans="1:12" ht="15.75">
      <c r="A201" s="714" t="s">
        <v>115</v>
      </c>
      <c r="B201" s="714"/>
      <c r="C201" s="714"/>
      <c r="D201" s="714"/>
      <c r="E201" s="714"/>
      <c r="F201" s="714"/>
      <c r="G201" s="714"/>
      <c r="H201" s="714"/>
      <c r="I201" s="714"/>
      <c r="J201" s="714"/>
      <c r="K201" s="714"/>
      <c r="L201" s="714"/>
    </row>
    <row r="202" spans="1:12" ht="12.75">
      <c r="A202" s="715" t="s">
        <v>183</v>
      </c>
      <c r="B202" s="715"/>
      <c r="C202" s="715"/>
      <c r="D202" s="715"/>
      <c r="E202" s="715"/>
      <c r="F202" s="715"/>
      <c r="G202" s="715"/>
      <c r="H202" s="715"/>
      <c r="I202" s="715"/>
      <c r="J202" s="715"/>
      <c r="K202" s="715"/>
      <c r="L202" s="715"/>
    </row>
    <row r="203" spans="1:12" ht="12.75">
      <c r="A203" s="722" t="s">
        <v>1</v>
      </c>
      <c r="B203" s="722"/>
      <c r="C203" s="722"/>
      <c r="D203" s="722"/>
      <c r="E203" s="722"/>
      <c r="F203" s="722"/>
      <c r="G203" s="722"/>
      <c r="H203" s="722"/>
      <c r="I203" s="722"/>
      <c r="J203" s="722"/>
      <c r="K203" s="722"/>
      <c r="L203" s="722"/>
    </row>
    <row r="204" spans="1:12" ht="12.75">
      <c r="A204" s="715" t="s">
        <v>225</v>
      </c>
      <c r="B204" s="715"/>
      <c r="C204" s="715"/>
      <c r="D204" s="715"/>
      <c r="E204" s="715"/>
      <c r="F204" s="715"/>
      <c r="G204" s="715"/>
      <c r="H204" s="715"/>
      <c r="I204" s="715"/>
      <c r="J204" s="715"/>
      <c r="K204" s="715"/>
      <c r="L204" s="715"/>
    </row>
    <row r="205" spans="1:12" ht="12.75">
      <c r="A205" s="715" t="s">
        <v>2</v>
      </c>
      <c r="B205" s="715"/>
      <c r="C205" s="715"/>
      <c r="D205" s="715"/>
      <c r="E205" s="715"/>
      <c r="F205" s="715"/>
      <c r="G205" s="715"/>
      <c r="H205" s="715"/>
      <c r="I205" s="715"/>
      <c r="J205" s="715"/>
      <c r="K205" s="715"/>
      <c r="L205" s="715"/>
    </row>
    <row r="206" spans="1:8" ht="12.75">
      <c r="A206" s="47"/>
      <c r="B206" s="47"/>
      <c r="C206" s="47"/>
      <c r="D206" s="47"/>
      <c r="H206" s="7"/>
    </row>
    <row r="210" ht="13.5" thickBot="1"/>
    <row r="211" spans="1:12" ht="38.25">
      <c r="A211" s="104" t="s">
        <v>116</v>
      </c>
      <c r="B211" s="105" t="s">
        <v>117</v>
      </c>
      <c r="C211" s="105" t="s">
        <v>118</v>
      </c>
      <c r="D211" s="105" t="s">
        <v>41</v>
      </c>
      <c r="E211" s="105" t="s">
        <v>119</v>
      </c>
      <c r="F211" s="100" t="s">
        <v>151</v>
      </c>
      <c r="G211" s="100" t="s">
        <v>152</v>
      </c>
      <c r="H211" s="100" t="s">
        <v>393</v>
      </c>
      <c r="I211" s="100" t="s">
        <v>453</v>
      </c>
      <c r="J211" s="100" t="s">
        <v>394</v>
      </c>
      <c r="K211" s="100" t="s">
        <v>396</v>
      </c>
      <c r="L211" s="100" t="s">
        <v>397</v>
      </c>
    </row>
    <row r="212" spans="1:12" ht="25.5">
      <c r="A212" s="101">
        <v>43084</v>
      </c>
      <c r="B212" s="103" t="s">
        <v>610</v>
      </c>
      <c r="C212" s="103">
        <v>1</v>
      </c>
      <c r="D212" s="102" t="s">
        <v>611</v>
      </c>
      <c r="E212" s="102" t="s">
        <v>612</v>
      </c>
      <c r="F212" s="109">
        <v>11151</v>
      </c>
      <c r="G212" s="107">
        <f>F212*C212</f>
        <v>11151</v>
      </c>
      <c r="H212" s="107">
        <v>0</v>
      </c>
      <c r="I212" s="108">
        <f>G212-H212</f>
        <v>11151</v>
      </c>
      <c r="J212" s="109">
        <f>I212/2*0.25</f>
        <v>1393.875</v>
      </c>
      <c r="K212" s="113">
        <f>H212+J212</f>
        <v>1393.875</v>
      </c>
      <c r="L212" s="113">
        <f>G212-J212</f>
        <v>9757.125</v>
      </c>
    </row>
    <row r="213" spans="1:12" ht="25.5">
      <c r="A213" s="101">
        <v>43084</v>
      </c>
      <c r="B213" s="103" t="s">
        <v>610</v>
      </c>
      <c r="C213" s="103">
        <v>1</v>
      </c>
      <c r="D213" s="102" t="s">
        <v>613</v>
      </c>
      <c r="E213" s="102" t="s">
        <v>612</v>
      </c>
      <c r="F213" s="109">
        <v>8083</v>
      </c>
      <c r="G213" s="107">
        <f aca="true" t="shared" si="10" ref="G213:G219">F213*C213</f>
        <v>8083</v>
      </c>
      <c r="H213" s="107">
        <v>0</v>
      </c>
      <c r="I213" s="108">
        <f aca="true" t="shared" si="11" ref="I213:I219">G213-H213</f>
        <v>8083</v>
      </c>
      <c r="J213" s="109">
        <f aca="true" t="shared" si="12" ref="J213:J223">I213/2*0.25</f>
        <v>1010.375</v>
      </c>
      <c r="K213" s="113">
        <f aca="true" t="shared" si="13" ref="K213:K219">H213+J213</f>
        <v>1010.375</v>
      </c>
      <c r="L213" s="113">
        <f aca="true" t="shared" si="14" ref="L213:L219">G213-J213</f>
        <v>7072.625</v>
      </c>
    </row>
    <row r="214" spans="1:12" ht="25.5">
      <c r="A214" s="101">
        <v>43084</v>
      </c>
      <c r="B214" s="103" t="s">
        <v>610</v>
      </c>
      <c r="C214" s="103">
        <v>1</v>
      </c>
      <c r="D214" s="102" t="s">
        <v>614</v>
      </c>
      <c r="E214" s="102" t="s">
        <v>612</v>
      </c>
      <c r="F214" s="109">
        <v>10030</v>
      </c>
      <c r="G214" s="107">
        <f t="shared" si="10"/>
        <v>10030</v>
      </c>
      <c r="H214" s="107">
        <v>0</v>
      </c>
      <c r="I214" s="108">
        <f t="shared" si="11"/>
        <v>10030</v>
      </c>
      <c r="J214" s="109">
        <f t="shared" si="12"/>
        <v>1253.75</v>
      </c>
      <c r="K214" s="113">
        <f t="shared" si="13"/>
        <v>1253.75</v>
      </c>
      <c r="L214" s="113">
        <f t="shared" si="14"/>
        <v>8776.25</v>
      </c>
    </row>
    <row r="215" spans="1:12" ht="25.5">
      <c r="A215" s="101">
        <v>43084</v>
      </c>
      <c r="B215" s="103" t="s">
        <v>610</v>
      </c>
      <c r="C215" s="103">
        <v>1</v>
      </c>
      <c r="D215" s="102" t="s">
        <v>615</v>
      </c>
      <c r="E215" s="102" t="s">
        <v>612</v>
      </c>
      <c r="F215" s="109">
        <v>33925</v>
      </c>
      <c r="G215" s="107">
        <f t="shared" si="10"/>
        <v>33925</v>
      </c>
      <c r="H215" s="107">
        <v>0</v>
      </c>
      <c r="I215" s="108">
        <f t="shared" si="11"/>
        <v>33925</v>
      </c>
      <c r="J215" s="109">
        <f t="shared" si="12"/>
        <v>4240.625</v>
      </c>
      <c r="K215" s="113">
        <f t="shared" si="13"/>
        <v>4240.625</v>
      </c>
      <c r="L215" s="113">
        <f t="shared" si="14"/>
        <v>29684.375</v>
      </c>
    </row>
    <row r="216" spans="1:12" ht="25.5">
      <c r="A216" s="101">
        <v>43084</v>
      </c>
      <c r="B216" s="103" t="s">
        <v>610</v>
      </c>
      <c r="C216" s="103">
        <v>1</v>
      </c>
      <c r="D216" s="102" t="s">
        <v>616</v>
      </c>
      <c r="E216" s="102" t="s">
        <v>612</v>
      </c>
      <c r="F216" s="109">
        <v>4484</v>
      </c>
      <c r="G216" s="107">
        <f t="shared" si="10"/>
        <v>4484</v>
      </c>
      <c r="H216" s="107">
        <v>0</v>
      </c>
      <c r="I216" s="108">
        <f t="shared" si="11"/>
        <v>4484</v>
      </c>
      <c r="J216" s="109">
        <f t="shared" si="12"/>
        <v>560.5</v>
      </c>
      <c r="K216" s="113">
        <f t="shared" si="13"/>
        <v>560.5</v>
      </c>
      <c r="L216" s="113">
        <f t="shared" si="14"/>
        <v>3923.5</v>
      </c>
    </row>
    <row r="217" spans="1:12" ht="12.75">
      <c r="A217" s="101"/>
      <c r="B217" s="103"/>
      <c r="C217" s="103"/>
      <c r="D217" s="102"/>
      <c r="E217" s="102"/>
      <c r="F217" s="109"/>
      <c r="G217" s="107">
        <f t="shared" si="10"/>
        <v>0</v>
      </c>
      <c r="H217" s="107">
        <v>0</v>
      </c>
      <c r="I217" s="108">
        <f t="shared" si="11"/>
        <v>0</v>
      </c>
      <c r="J217" s="109">
        <f t="shared" si="12"/>
        <v>0</v>
      </c>
      <c r="K217" s="113">
        <f t="shared" si="13"/>
        <v>0</v>
      </c>
      <c r="L217" s="113">
        <f t="shared" si="14"/>
        <v>0</v>
      </c>
    </row>
    <row r="218" spans="1:12" ht="12.75">
      <c r="A218" s="101"/>
      <c r="B218" s="103"/>
      <c r="C218" s="103"/>
      <c r="D218" s="102"/>
      <c r="E218" s="102"/>
      <c r="F218" s="109"/>
      <c r="G218" s="107">
        <f t="shared" si="10"/>
        <v>0</v>
      </c>
      <c r="H218" s="107">
        <v>0</v>
      </c>
      <c r="I218" s="108">
        <f t="shared" si="11"/>
        <v>0</v>
      </c>
      <c r="J218" s="109">
        <f t="shared" si="12"/>
        <v>0</v>
      </c>
      <c r="K218" s="113">
        <f t="shared" si="13"/>
        <v>0</v>
      </c>
      <c r="L218" s="113">
        <f t="shared" si="14"/>
        <v>0</v>
      </c>
    </row>
    <row r="219" spans="1:12" ht="12.75">
      <c r="A219" s="101"/>
      <c r="B219" s="103"/>
      <c r="C219" s="103"/>
      <c r="D219" s="102"/>
      <c r="E219" s="102"/>
      <c r="F219" s="109"/>
      <c r="G219" s="107">
        <f t="shared" si="10"/>
        <v>0</v>
      </c>
      <c r="H219" s="107">
        <v>0</v>
      </c>
      <c r="I219" s="108">
        <f t="shared" si="11"/>
        <v>0</v>
      </c>
      <c r="J219" s="109">
        <f t="shared" si="12"/>
        <v>0</v>
      </c>
      <c r="K219" s="113">
        <f t="shared" si="13"/>
        <v>0</v>
      </c>
      <c r="L219" s="113">
        <f t="shared" si="14"/>
        <v>0</v>
      </c>
    </row>
    <row r="220" spans="1:12" ht="12.75">
      <c r="A220" s="101"/>
      <c r="B220" s="103"/>
      <c r="C220" s="103"/>
      <c r="D220" s="102"/>
      <c r="E220" s="102"/>
      <c r="F220" s="109"/>
      <c r="G220" s="107">
        <f>F220*C220</f>
        <v>0</v>
      </c>
      <c r="H220" s="107">
        <v>0</v>
      </c>
      <c r="I220" s="108">
        <f>G220-H220</f>
        <v>0</v>
      </c>
      <c r="J220" s="109">
        <f t="shared" si="12"/>
        <v>0</v>
      </c>
      <c r="K220" s="113">
        <f>H220+J220</f>
        <v>0</v>
      </c>
      <c r="L220" s="113">
        <f>G220-J220</f>
        <v>0</v>
      </c>
    </row>
    <row r="221" spans="1:12" ht="12.75">
      <c r="A221" s="101"/>
      <c r="B221" s="103"/>
      <c r="C221" s="103"/>
      <c r="D221" s="102"/>
      <c r="E221" s="102"/>
      <c r="F221" s="109"/>
      <c r="G221" s="107">
        <f>F221*C221</f>
        <v>0</v>
      </c>
      <c r="H221" s="107"/>
      <c r="I221" s="108">
        <f>G221-H221</f>
        <v>0</v>
      </c>
      <c r="J221" s="109">
        <f t="shared" si="12"/>
        <v>0</v>
      </c>
      <c r="K221" s="113"/>
      <c r="L221" s="113"/>
    </row>
    <row r="222" spans="1:12" ht="12.75">
      <c r="A222" s="101"/>
      <c r="B222" s="103"/>
      <c r="C222" s="103"/>
      <c r="D222" s="102"/>
      <c r="E222" s="102"/>
      <c r="F222" s="109"/>
      <c r="G222" s="107">
        <f>F222*C222</f>
        <v>0</v>
      </c>
      <c r="H222" s="107"/>
      <c r="I222" s="108">
        <f>G222-H222</f>
        <v>0</v>
      </c>
      <c r="J222" s="109">
        <f t="shared" si="12"/>
        <v>0</v>
      </c>
      <c r="K222" s="113"/>
      <c r="L222" s="113"/>
    </row>
    <row r="223" spans="1:12" ht="12.75">
      <c r="A223" s="101"/>
      <c r="B223" s="103"/>
      <c r="C223" s="103"/>
      <c r="D223" s="102"/>
      <c r="E223" s="102"/>
      <c r="F223" s="109"/>
      <c r="G223" s="107">
        <f>F223*C223</f>
        <v>0</v>
      </c>
      <c r="H223" s="107"/>
      <c r="I223" s="108">
        <f>G223-H223</f>
        <v>0</v>
      </c>
      <c r="J223" s="109">
        <f t="shared" si="12"/>
        <v>0</v>
      </c>
      <c r="K223" s="113"/>
      <c r="L223" s="113"/>
    </row>
    <row r="224" spans="1:12" ht="12.75">
      <c r="A224" s="101"/>
      <c r="B224" s="103"/>
      <c r="C224" s="103"/>
      <c r="D224" s="102"/>
      <c r="E224" s="102"/>
      <c r="F224" s="109"/>
      <c r="G224" s="107"/>
      <c r="H224" s="107"/>
      <c r="I224" s="108"/>
      <c r="J224" s="109"/>
      <c r="K224" s="113"/>
      <c r="L224" s="113"/>
    </row>
    <row r="225" spans="1:12" ht="12.75">
      <c r="A225" s="101"/>
      <c r="B225" s="103"/>
      <c r="C225" s="103"/>
      <c r="D225" s="102"/>
      <c r="E225" s="102"/>
      <c r="F225" s="109"/>
      <c r="G225" s="107"/>
      <c r="H225" s="107"/>
      <c r="I225" s="108"/>
      <c r="J225" s="109"/>
      <c r="K225" s="113"/>
      <c r="L225" s="113"/>
    </row>
    <row r="226" spans="1:12" ht="12.75">
      <c r="A226" s="101"/>
      <c r="B226" s="103"/>
      <c r="C226" s="103"/>
      <c r="D226" s="102"/>
      <c r="E226" s="102"/>
      <c r="F226" s="109"/>
      <c r="G226" s="107"/>
      <c r="H226" s="107"/>
      <c r="I226" s="108"/>
      <c r="J226" s="109"/>
      <c r="K226" s="113"/>
      <c r="L226" s="113"/>
    </row>
    <row r="227" spans="1:12" ht="12.75">
      <c r="A227" s="101"/>
      <c r="B227" s="103"/>
      <c r="C227" s="103"/>
      <c r="D227" s="102"/>
      <c r="E227" s="102"/>
      <c r="F227" s="109"/>
      <c r="G227" s="107"/>
      <c r="H227" s="107"/>
      <c r="I227" s="108"/>
      <c r="J227" s="109"/>
      <c r="K227" s="113"/>
      <c r="L227" s="113"/>
    </row>
    <row r="228" spans="1:12" ht="12.75">
      <c r="A228" s="101"/>
      <c r="B228" s="103"/>
      <c r="C228" s="103"/>
      <c r="D228" s="102"/>
      <c r="E228" s="102"/>
      <c r="F228" s="109"/>
      <c r="G228" s="107"/>
      <c r="H228" s="107"/>
      <c r="I228" s="108"/>
      <c r="J228" s="109"/>
      <c r="K228" s="113"/>
      <c r="L228" s="113"/>
    </row>
    <row r="229" spans="1:12" ht="12.75">
      <c r="A229" s="309"/>
      <c r="B229" s="310"/>
      <c r="C229" s="310"/>
      <c r="D229" s="311"/>
      <c r="E229" s="310"/>
      <c r="F229" s="120"/>
      <c r="G229" s="107">
        <f>F229*C229</f>
        <v>0</v>
      </c>
      <c r="H229" s="55"/>
      <c r="I229" s="108">
        <f>G229-H229</f>
        <v>0</v>
      </c>
      <c r="J229" s="109">
        <f>I229/2*0.25</f>
        <v>0</v>
      </c>
      <c r="K229" s="312">
        <f>H229+J229</f>
        <v>0</v>
      </c>
      <c r="L229" s="312">
        <f>G229-J229</f>
        <v>0</v>
      </c>
    </row>
    <row r="230" ht="13.5" thickBot="1"/>
    <row r="231" spans="1:12" ht="15.75" thickBot="1">
      <c r="A231" s="112"/>
      <c r="B231" s="111"/>
      <c r="C231" s="111"/>
      <c r="D231" s="314" t="s">
        <v>469</v>
      </c>
      <c r="E231" s="314"/>
      <c r="F231" s="313"/>
      <c r="G231" s="430">
        <f>SUBTOTAL(9,G212:G230)</f>
        <v>67673</v>
      </c>
      <c r="H231" s="315"/>
      <c r="I231" s="315"/>
      <c r="J231" s="316">
        <f>SUBTOTAL(9,J212:J230)</f>
        <v>8459.125</v>
      </c>
      <c r="K231" s="317"/>
      <c r="L231" s="318">
        <f>SUBTOTAL(9,L212:L230)</f>
        <v>59213.875</v>
      </c>
    </row>
    <row r="232" spans="1:7" ht="12.75">
      <c r="A232" s="110"/>
      <c r="B232" s="1"/>
      <c r="C232" s="1"/>
      <c r="D232" s="1"/>
      <c r="E232" s="1"/>
      <c r="F232" s="1"/>
      <c r="G232" s="1"/>
    </row>
    <row r="233" ht="12.75">
      <c r="E233" s="7">
        <v>3478000</v>
      </c>
    </row>
    <row r="234" ht="12.75">
      <c r="E234" s="7">
        <v>51999.92</v>
      </c>
    </row>
    <row r="235" ht="12.75">
      <c r="E235" s="7">
        <v>4581.94</v>
      </c>
    </row>
    <row r="236" ht="12.75">
      <c r="E236" s="7">
        <f>SUM(E228:E235)</f>
        <v>3534581.86</v>
      </c>
    </row>
    <row r="237" spans="5:7" ht="12.75">
      <c r="E237" s="13">
        <f>-G222</f>
        <v>0</v>
      </c>
      <c r="G237" s="118">
        <f>G231+G178+G124+G91+G52+G20</f>
        <v>9797625.959999999</v>
      </c>
    </row>
    <row r="238" ht="12.75">
      <c r="E238" s="13">
        <f>SUM(E236:E237)</f>
        <v>3534581.86</v>
      </c>
    </row>
  </sheetData>
  <sheetProtection/>
  <mergeCells count="31">
    <mergeCell ref="A6:L6"/>
    <mergeCell ref="A7:L7"/>
    <mergeCell ref="A8:L8"/>
    <mergeCell ref="A9:L9"/>
    <mergeCell ref="A10:L10"/>
    <mergeCell ref="A42:L42"/>
    <mergeCell ref="A152:L152"/>
    <mergeCell ref="A204:L204"/>
    <mergeCell ref="A203:L203"/>
    <mergeCell ref="A151:L151"/>
    <mergeCell ref="A149:L149"/>
    <mergeCell ref="A202:L202"/>
    <mergeCell ref="A205:L205"/>
    <mergeCell ref="A201:L201"/>
    <mergeCell ref="A73:L73"/>
    <mergeCell ref="A74:L74"/>
    <mergeCell ref="A108:L108"/>
    <mergeCell ref="A72:L72"/>
    <mergeCell ref="A111:L111"/>
    <mergeCell ref="A150:L150"/>
    <mergeCell ref="A110:L110"/>
    <mergeCell ref="A148:L148"/>
    <mergeCell ref="A70:L70"/>
    <mergeCell ref="A39:L39"/>
    <mergeCell ref="A28:G28"/>
    <mergeCell ref="A38:L38"/>
    <mergeCell ref="A107:L107"/>
    <mergeCell ref="A109:L109"/>
    <mergeCell ref="A41:L41"/>
    <mergeCell ref="A40:L40"/>
    <mergeCell ref="A71:L71"/>
  </mergeCells>
  <printOptions/>
  <pageMargins left="0.15748031496062992" right="0.15748031496062992" top="0.39" bottom="0.24" header="0.31496062992125984" footer="0.31496062992125984"/>
  <pageSetup orientation="landscape" scale="7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46">
      <selection activeCell="J15" sqref="J15"/>
    </sheetView>
  </sheetViews>
  <sheetFormatPr defaultColWidth="11.421875" defaultRowHeight="12.75"/>
  <cols>
    <col min="2" max="2" width="8.421875" style="0" customWidth="1"/>
    <col min="4" max="4" width="5.7109375" style="0" customWidth="1"/>
    <col min="7" max="7" width="5.140625" style="0" customWidth="1"/>
    <col min="10" max="10" width="14.140625" style="0" customWidth="1"/>
    <col min="11" max="11" width="13.28125" style="0" customWidth="1"/>
  </cols>
  <sheetData>
    <row r="1" spans="1:12" ht="15">
      <c r="A1" s="740" t="s">
        <v>289</v>
      </c>
      <c r="B1" s="741"/>
      <c r="C1" s="740">
        <v>10069</v>
      </c>
      <c r="D1" s="741"/>
      <c r="E1" s="306" t="s">
        <v>290</v>
      </c>
      <c r="F1" s="740" t="s">
        <v>239</v>
      </c>
      <c r="G1" s="741"/>
      <c r="H1" s="742" t="s">
        <v>240</v>
      </c>
      <c r="I1" s="741"/>
      <c r="J1" s="291">
        <v>2400</v>
      </c>
      <c r="K1" s="291">
        <v>0</v>
      </c>
      <c r="L1" s="306" t="s">
        <v>241</v>
      </c>
    </row>
    <row r="2" spans="1:12" ht="15">
      <c r="A2" s="740" t="s">
        <v>289</v>
      </c>
      <c r="B2" s="741"/>
      <c r="C2" s="740">
        <v>10070</v>
      </c>
      <c r="D2" s="741"/>
      <c r="E2" s="306" t="s">
        <v>291</v>
      </c>
      <c r="F2" s="740" t="s">
        <v>239</v>
      </c>
      <c r="G2" s="741"/>
      <c r="H2" s="742" t="s">
        <v>240</v>
      </c>
      <c r="I2" s="741"/>
      <c r="J2" s="291">
        <v>1800</v>
      </c>
      <c r="K2" s="291">
        <v>0</v>
      </c>
      <c r="L2" s="306" t="s">
        <v>241</v>
      </c>
    </row>
    <row r="3" spans="1:12" ht="15">
      <c r="A3" s="740" t="s">
        <v>289</v>
      </c>
      <c r="B3" s="741"/>
      <c r="C3" s="740">
        <v>10071</v>
      </c>
      <c r="D3" s="741"/>
      <c r="E3" s="306" t="s">
        <v>292</v>
      </c>
      <c r="F3" s="740" t="s">
        <v>239</v>
      </c>
      <c r="G3" s="741"/>
      <c r="H3" s="742" t="s">
        <v>240</v>
      </c>
      <c r="I3" s="741"/>
      <c r="J3" s="291">
        <v>0</v>
      </c>
      <c r="K3" s="291">
        <v>0</v>
      </c>
      <c r="L3" s="306" t="s">
        <v>293</v>
      </c>
    </row>
    <row r="4" spans="1:12" ht="15">
      <c r="A4" s="740" t="s">
        <v>289</v>
      </c>
      <c r="B4" s="741"/>
      <c r="C4" s="740">
        <v>10072</v>
      </c>
      <c r="D4" s="741"/>
      <c r="E4" s="306" t="s">
        <v>294</v>
      </c>
      <c r="F4" s="740" t="s">
        <v>239</v>
      </c>
      <c r="G4" s="741"/>
      <c r="H4" s="742" t="s">
        <v>240</v>
      </c>
      <c r="I4" s="741"/>
      <c r="J4" s="291">
        <v>1600</v>
      </c>
      <c r="K4" s="291">
        <v>0</v>
      </c>
      <c r="L4" s="306" t="s">
        <v>241</v>
      </c>
    </row>
    <row r="5" spans="1:12" ht="15">
      <c r="A5" s="740" t="s">
        <v>289</v>
      </c>
      <c r="B5" s="741"/>
      <c r="C5" s="740">
        <v>10073</v>
      </c>
      <c r="D5" s="741"/>
      <c r="E5" s="306" t="s">
        <v>295</v>
      </c>
      <c r="F5" s="740" t="s">
        <v>239</v>
      </c>
      <c r="G5" s="741"/>
      <c r="H5" s="742" t="s">
        <v>240</v>
      </c>
      <c r="I5" s="741"/>
      <c r="J5" s="291">
        <v>0</v>
      </c>
      <c r="K5" s="291">
        <v>0</v>
      </c>
      <c r="L5" s="306" t="s">
        <v>293</v>
      </c>
    </row>
    <row r="6" spans="1:12" ht="15">
      <c r="A6" s="740" t="s">
        <v>289</v>
      </c>
      <c r="B6" s="741"/>
      <c r="C6" s="740">
        <v>10074</v>
      </c>
      <c r="D6" s="741"/>
      <c r="E6" s="306" t="s">
        <v>296</v>
      </c>
      <c r="F6" s="740" t="s">
        <v>239</v>
      </c>
      <c r="G6" s="741"/>
      <c r="H6" s="742" t="s">
        <v>240</v>
      </c>
      <c r="I6" s="741"/>
      <c r="J6" s="291">
        <v>0</v>
      </c>
      <c r="K6" s="291">
        <v>0</v>
      </c>
      <c r="L6" s="306" t="s">
        <v>293</v>
      </c>
    </row>
    <row r="7" spans="1:12" ht="15">
      <c r="A7" s="740" t="s">
        <v>289</v>
      </c>
      <c r="B7" s="741"/>
      <c r="C7" s="740">
        <v>10075</v>
      </c>
      <c r="D7" s="741"/>
      <c r="E7" s="306" t="s">
        <v>297</v>
      </c>
      <c r="F7" s="740" t="s">
        <v>239</v>
      </c>
      <c r="G7" s="741"/>
      <c r="H7" s="742" t="s">
        <v>240</v>
      </c>
      <c r="I7" s="741"/>
      <c r="J7" s="291">
        <v>0</v>
      </c>
      <c r="K7" s="291">
        <v>0</v>
      </c>
      <c r="L7" s="306" t="s">
        <v>293</v>
      </c>
    </row>
    <row r="8" spans="1:12" ht="15">
      <c r="A8" s="740" t="s">
        <v>289</v>
      </c>
      <c r="B8" s="741"/>
      <c r="C8" s="740">
        <v>10076</v>
      </c>
      <c r="D8" s="741"/>
      <c r="E8" s="306" t="s">
        <v>298</v>
      </c>
      <c r="F8" s="740" t="s">
        <v>239</v>
      </c>
      <c r="G8" s="741"/>
      <c r="H8" s="742" t="s">
        <v>240</v>
      </c>
      <c r="I8" s="741"/>
      <c r="J8" s="291">
        <v>0</v>
      </c>
      <c r="K8" s="291">
        <v>0</v>
      </c>
      <c r="L8" s="306" t="s">
        <v>293</v>
      </c>
    </row>
    <row r="9" spans="1:12" ht="15">
      <c r="A9" s="740" t="s">
        <v>289</v>
      </c>
      <c r="B9" s="741"/>
      <c r="C9" s="740">
        <v>10077</v>
      </c>
      <c r="D9" s="741"/>
      <c r="E9" s="306" t="s">
        <v>299</v>
      </c>
      <c r="F9" s="740" t="s">
        <v>239</v>
      </c>
      <c r="G9" s="741"/>
      <c r="H9" s="742" t="s">
        <v>240</v>
      </c>
      <c r="I9" s="741"/>
      <c r="J9" s="291">
        <v>0</v>
      </c>
      <c r="K9" s="291">
        <v>0</v>
      </c>
      <c r="L9" s="306" t="s">
        <v>293</v>
      </c>
    </row>
    <row r="10" spans="1:12" ht="15">
      <c r="A10" s="740" t="s">
        <v>289</v>
      </c>
      <c r="B10" s="741"/>
      <c r="C10" s="740">
        <v>10078</v>
      </c>
      <c r="D10" s="741"/>
      <c r="E10" s="306" t="s">
        <v>300</v>
      </c>
      <c r="F10" s="740" t="s">
        <v>239</v>
      </c>
      <c r="G10" s="741"/>
      <c r="H10" s="742" t="s">
        <v>240</v>
      </c>
      <c r="I10" s="741"/>
      <c r="J10" s="291">
        <v>0</v>
      </c>
      <c r="K10" s="291">
        <v>0</v>
      </c>
      <c r="L10" s="306" t="s">
        <v>293</v>
      </c>
    </row>
    <row r="11" spans="1:12" ht="15">
      <c r="A11" s="740" t="s">
        <v>289</v>
      </c>
      <c r="B11" s="741"/>
      <c r="C11" s="740">
        <v>10079</v>
      </c>
      <c r="D11" s="741"/>
      <c r="E11" s="306" t="s">
        <v>301</v>
      </c>
      <c r="F11" s="740" t="s">
        <v>239</v>
      </c>
      <c r="G11" s="741"/>
      <c r="H11" s="742" t="s">
        <v>240</v>
      </c>
      <c r="I11" s="741"/>
      <c r="J11" s="291">
        <v>0</v>
      </c>
      <c r="K11" s="291">
        <v>0</v>
      </c>
      <c r="L11" s="306" t="s">
        <v>293</v>
      </c>
    </row>
    <row r="12" spans="1:12" ht="15">
      <c r="A12" s="740" t="s">
        <v>289</v>
      </c>
      <c r="B12" s="741"/>
      <c r="C12" s="740">
        <v>10080</v>
      </c>
      <c r="D12" s="741"/>
      <c r="E12" s="306" t="s">
        <v>302</v>
      </c>
      <c r="F12" s="740" t="s">
        <v>239</v>
      </c>
      <c r="G12" s="741"/>
      <c r="H12" s="742" t="s">
        <v>240</v>
      </c>
      <c r="I12" s="741"/>
      <c r="J12" s="291">
        <v>0</v>
      </c>
      <c r="K12" s="291">
        <v>0</v>
      </c>
      <c r="L12" s="306" t="s">
        <v>293</v>
      </c>
    </row>
    <row r="13" spans="1:12" ht="15">
      <c r="A13" s="740" t="s">
        <v>289</v>
      </c>
      <c r="B13" s="741"/>
      <c r="C13" s="740">
        <v>10081</v>
      </c>
      <c r="D13" s="741"/>
      <c r="E13" s="306" t="s">
        <v>303</v>
      </c>
      <c r="F13" s="740" t="s">
        <v>239</v>
      </c>
      <c r="G13" s="741"/>
      <c r="H13" s="742" t="s">
        <v>240</v>
      </c>
      <c r="I13" s="741"/>
      <c r="J13" s="291">
        <v>0</v>
      </c>
      <c r="K13" s="291">
        <v>0</v>
      </c>
      <c r="L13" s="306" t="s">
        <v>293</v>
      </c>
    </row>
    <row r="14" spans="1:12" ht="15">
      <c r="A14" s="740" t="s">
        <v>289</v>
      </c>
      <c r="B14" s="741"/>
      <c r="C14" s="740">
        <v>10082</v>
      </c>
      <c r="D14" s="741"/>
      <c r="E14" s="306" t="s">
        <v>304</v>
      </c>
      <c r="F14" s="740" t="s">
        <v>239</v>
      </c>
      <c r="G14" s="741"/>
      <c r="H14" s="742" t="s">
        <v>240</v>
      </c>
      <c r="I14" s="741"/>
      <c r="J14" s="291">
        <v>0</v>
      </c>
      <c r="K14" s="291">
        <v>0</v>
      </c>
      <c r="L14" s="306" t="s">
        <v>293</v>
      </c>
    </row>
    <row r="15" spans="1:12" ht="15">
      <c r="A15" s="740" t="s">
        <v>289</v>
      </c>
      <c r="B15" s="741"/>
      <c r="C15" s="740">
        <v>10083</v>
      </c>
      <c r="D15" s="741"/>
      <c r="E15" s="306" t="s">
        <v>305</v>
      </c>
      <c r="F15" s="740" t="s">
        <v>239</v>
      </c>
      <c r="G15" s="741"/>
      <c r="H15" s="742" t="s">
        <v>240</v>
      </c>
      <c r="I15" s="741"/>
      <c r="J15" s="291">
        <v>1000</v>
      </c>
      <c r="K15" s="291">
        <v>0</v>
      </c>
      <c r="L15" s="306" t="s">
        <v>241</v>
      </c>
    </row>
    <row r="16" spans="1:12" ht="15">
      <c r="A16" s="740" t="s">
        <v>306</v>
      </c>
      <c r="B16" s="741"/>
      <c r="C16" s="740">
        <v>10091</v>
      </c>
      <c r="D16" s="741"/>
      <c r="E16" s="306" t="s">
        <v>307</v>
      </c>
      <c r="F16" s="740" t="s">
        <v>239</v>
      </c>
      <c r="G16" s="741"/>
      <c r="H16" s="742" t="s">
        <v>240</v>
      </c>
      <c r="I16" s="741"/>
      <c r="J16" s="291">
        <v>1800</v>
      </c>
      <c r="K16" s="291">
        <v>0</v>
      </c>
      <c r="L16" s="306" t="s">
        <v>241</v>
      </c>
    </row>
    <row r="17" spans="1:12" ht="15">
      <c r="A17" s="740" t="s">
        <v>306</v>
      </c>
      <c r="B17" s="741"/>
      <c r="C17" s="740">
        <v>10092</v>
      </c>
      <c r="D17" s="741"/>
      <c r="E17" s="306" t="s">
        <v>308</v>
      </c>
      <c r="F17" s="740" t="s">
        <v>239</v>
      </c>
      <c r="G17" s="741"/>
      <c r="H17" s="742" t="s">
        <v>240</v>
      </c>
      <c r="I17" s="741"/>
      <c r="J17" s="291">
        <v>1600</v>
      </c>
      <c r="K17" s="291">
        <v>0</v>
      </c>
      <c r="L17" s="306" t="s">
        <v>241</v>
      </c>
    </row>
    <row r="18" spans="1:12" ht="15">
      <c r="A18" s="740" t="s">
        <v>306</v>
      </c>
      <c r="B18" s="741"/>
      <c r="C18" s="740">
        <v>10093</v>
      </c>
      <c r="D18" s="741"/>
      <c r="E18" s="306" t="s">
        <v>309</v>
      </c>
      <c r="F18" s="740" t="s">
        <v>239</v>
      </c>
      <c r="G18" s="741"/>
      <c r="H18" s="742" t="s">
        <v>240</v>
      </c>
      <c r="I18" s="741"/>
      <c r="J18" s="291">
        <v>1000</v>
      </c>
      <c r="K18" s="291">
        <v>0</v>
      </c>
      <c r="L18" s="306" t="s">
        <v>241</v>
      </c>
    </row>
    <row r="19" spans="1:12" ht="15">
      <c r="A19" s="740" t="s">
        <v>401</v>
      </c>
      <c r="B19" s="741"/>
      <c r="C19" s="740">
        <v>10256</v>
      </c>
      <c r="D19" s="741"/>
      <c r="E19" s="306" t="s">
        <v>403</v>
      </c>
      <c r="F19" s="740" t="s">
        <v>239</v>
      </c>
      <c r="G19" s="741"/>
      <c r="H19" s="742" t="s">
        <v>240</v>
      </c>
      <c r="I19" s="741"/>
      <c r="J19" s="291">
        <v>2400</v>
      </c>
      <c r="K19" s="291">
        <v>0</v>
      </c>
      <c r="L19" s="306" t="s">
        <v>241</v>
      </c>
    </row>
    <row r="20" spans="1:12" ht="15">
      <c r="A20" s="740" t="s">
        <v>401</v>
      </c>
      <c r="B20" s="741"/>
      <c r="C20" s="740">
        <v>10257</v>
      </c>
      <c r="D20" s="741"/>
      <c r="E20" s="306" t="s">
        <v>404</v>
      </c>
      <c r="F20" s="740" t="s">
        <v>239</v>
      </c>
      <c r="G20" s="741"/>
      <c r="H20" s="742" t="s">
        <v>240</v>
      </c>
      <c r="I20" s="741"/>
      <c r="J20" s="291">
        <v>1800</v>
      </c>
      <c r="K20" s="291">
        <v>0</v>
      </c>
      <c r="L20" s="306" t="s">
        <v>241</v>
      </c>
    </row>
    <row r="21" spans="1:12" ht="15">
      <c r="A21" s="740" t="s">
        <v>401</v>
      </c>
      <c r="B21" s="741"/>
      <c r="C21" s="740">
        <v>10258</v>
      </c>
      <c r="D21" s="741"/>
      <c r="E21" s="306" t="s">
        <v>405</v>
      </c>
      <c r="F21" s="740" t="s">
        <v>239</v>
      </c>
      <c r="G21" s="741"/>
      <c r="H21" s="742" t="s">
        <v>240</v>
      </c>
      <c r="I21" s="741"/>
      <c r="J21" s="291">
        <v>1600</v>
      </c>
      <c r="K21" s="291">
        <v>0</v>
      </c>
      <c r="L21" s="306" t="s">
        <v>241</v>
      </c>
    </row>
    <row r="22" spans="1:12" ht="15">
      <c r="A22" s="740" t="s">
        <v>401</v>
      </c>
      <c r="B22" s="741"/>
      <c r="C22" s="740">
        <v>10259</v>
      </c>
      <c r="D22" s="741"/>
      <c r="E22" s="306" t="s">
        <v>406</v>
      </c>
      <c r="F22" s="740" t="s">
        <v>239</v>
      </c>
      <c r="G22" s="741"/>
      <c r="H22" s="742" t="s">
        <v>240</v>
      </c>
      <c r="I22" s="741"/>
      <c r="J22" s="292">
        <v>1000</v>
      </c>
      <c r="K22" s="291">
        <v>0</v>
      </c>
      <c r="L22" s="306" t="s">
        <v>241</v>
      </c>
    </row>
    <row r="23" spans="1:12" ht="15">
      <c r="A23" s="293"/>
      <c r="B23" s="293"/>
      <c r="C23" s="293"/>
      <c r="D23" s="293"/>
      <c r="E23" s="293"/>
      <c r="F23" s="293"/>
      <c r="G23" s="293"/>
      <c r="H23" s="293"/>
      <c r="I23" s="293"/>
      <c r="J23" s="294">
        <v>18000</v>
      </c>
      <c r="K23" s="293"/>
      <c r="L23" s="293"/>
    </row>
    <row r="24" spans="1:12" ht="15">
      <c r="A24" s="740"/>
      <c r="B24" s="741"/>
      <c r="C24" s="740"/>
      <c r="D24" s="741"/>
      <c r="E24" s="290"/>
      <c r="F24" s="740"/>
      <c r="G24" s="741"/>
      <c r="H24" s="742"/>
      <c r="I24" s="741"/>
      <c r="J24" s="291"/>
      <c r="K24" s="291"/>
      <c r="L24" s="290"/>
    </row>
    <row r="25" spans="1:12" ht="15">
      <c r="A25" s="293"/>
      <c r="B25" s="293"/>
      <c r="C25" s="293"/>
      <c r="D25" s="293"/>
      <c r="E25" s="293"/>
      <c r="F25" s="293"/>
      <c r="G25" s="293"/>
      <c r="H25" s="293"/>
      <c r="I25" s="293"/>
      <c r="J25" s="294"/>
      <c r="K25" s="297"/>
      <c r="L25" s="293"/>
    </row>
    <row r="26" spans="1:12" ht="15">
      <c r="A26" s="740" t="s">
        <v>407</v>
      </c>
      <c r="B26" s="741"/>
      <c r="C26" s="740">
        <v>10191</v>
      </c>
      <c r="D26" s="741"/>
      <c r="E26" s="306" t="s">
        <v>408</v>
      </c>
      <c r="F26" s="740" t="s">
        <v>409</v>
      </c>
      <c r="G26" s="741"/>
      <c r="H26" s="742" t="s">
        <v>410</v>
      </c>
      <c r="I26" s="741"/>
      <c r="J26" s="291">
        <v>2277.4</v>
      </c>
      <c r="K26" s="291">
        <v>0</v>
      </c>
      <c r="L26" s="306" t="s">
        <v>241</v>
      </c>
    </row>
    <row r="27" spans="1:12" ht="15">
      <c r="A27" s="740" t="s">
        <v>407</v>
      </c>
      <c r="B27" s="741"/>
      <c r="C27" s="740">
        <v>10192</v>
      </c>
      <c r="D27" s="741"/>
      <c r="E27" s="306" t="s">
        <v>411</v>
      </c>
      <c r="F27" s="740" t="s">
        <v>409</v>
      </c>
      <c r="G27" s="741"/>
      <c r="H27" s="742" t="s">
        <v>410</v>
      </c>
      <c r="I27" s="741"/>
      <c r="J27" s="292">
        <v>2277.4</v>
      </c>
      <c r="K27" s="291">
        <v>0</v>
      </c>
      <c r="L27" s="306" t="s">
        <v>241</v>
      </c>
    </row>
    <row r="28" spans="1:12" ht="15">
      <c r="A28" s="293"/>
      <c r="B28" s="293"/>
      <c r="C28" s="293"/>
      <c r="D28" s="293"/>
      <c r="E28" s="293"/>
      <c r="F28" s="293"/>
      <c r="G28" s="293"/>
      <c r="H28" s="293"/>
      <c r="I28" s="293"/>
      <c r="J28" s="294">
        <v>4554.8</v>
      </c>
      <c r="K28" s="293"/>
      <c r="L28" s="293"/>
    </row>
    <row r="29" spans="1:12" ht="15">
      <c r="A29" s="740"/>
      <c r="B29" s="741"/>
      <c r="C29" s="740"/>
      <c r="D29" s="741"/>
      <c r="E29" s="290"/>
      <c r="F29" s="740"/>
      <c r="G29" s="741"/>
      <c r="H29" s="742"/>
      <c r="I29" s="741"/>
      <c r="J29" s="291"/>
      <c r="K29" s="291"/>
      <c r="L29" s="290"/>
    </row>
    <row r="30" spans="1:12" ht="15">
      <c r="A30" s="740" t="s">
        <v>310</v>
      </c>
      <c r="B30" s="741"/>
      <c r="C30" s="740">
        <v>10089</v>
      </c>
      <c r="D30" s="741"/>
      <c r="E30" s="306" t="s">
        <v>311</v>
      </c>
      <c r="F30" s="740" t="s">
        <v>263</v>
      </c>
      <c r="G30" s="741"/>
      <c r="H30" s="742" t="s">
        <v>264</v>
      </c>
      <c r="I30" s="741"/>
      <c r="J30" s="291">
        <v>103680</v>
      </c>
      <c r="K30" s="291">
        <v>0</v>
      </c>
      <c r="L30" s="306" t="s">
        <v>241</v>
      </c>
    </row>
    <row r="31" spans="1:12" ht="15">
      <c r="A31" s="740" t="s">
        <v>314</v>
      </c>
      <c r="B31" s="741"/>
      <c r="C31" s="740">
        <v>10184</v>
      </c>
      <c r="D31" s="741"/>
      <c r="E31" s="306" t="s">
        <v>315</v>
      </c>
      <c r="F31" s="740" t="s">
        <v>263</v>
      </c>
      <c r="G31" s="741"/>
      <c r="H31" s="742" t="s">
        <v>264</v>
      </c>
      <c r="I31" s="741"/>
      <c r="J31" s="291">
        <v>0</v>
      </c>
      <c r="K31" s="291">
        <v>0</v>
      </c>
      <c r="L31" s="306" t="s">
        <v>316</v>
      </c>
    </row>
    <row r="32" spans="1:12" ht="15">
      <c r="A32" s="740" t="s">
        <v>412</v>
      </c>
      <c r="B32" s="741"/>
      <c r="C32" s="740">
        <v>10187</v>
      </c>
      <c r="D32" s="741"/>
      <c r="E32" s="306" t="s">
        <v>413</v>
      </c>
      <c r="F32" s="740" t="s">
        <v>263</v>
      </c>
      <c r="G32" s="741"/>
      <c r="H32" s="742" t="s">
        <v>264</v>
      </c>
      <c r="I32" s="741"/>
      <c r="J32" s="291">
        <v>38233.6</v>
      </c>
      <c r="K32" s="291">
        <v>0</v>
      </c>
      <c r="L32" s="306" t="s">
        <v>241</v>
      </c>
    </row>
    <row r="33" spans="1:12" ht="15">
      <c r="A33" s="740" t="s">
        <v>407</v>
      </c>
      <c r="B33" s="741"/>
      <c r="C33" s="740">
        <v>10191</v>
      </c>
      <c r="D33" s="741"/>
      <c r="E33" s="306" t="s">
        <v>408</v>
      </c>
      <c r="F33" s="740" t="s">
        <v>263</v>
      </c>
      <c r="G33" s="741"/>
      <c r="H33" s="742" t="s">
        <v>264</v>
      </c>
      <c r="I33" s="741"/>
      <c r="J33" s="291">
        <v>10620</v>
      </c>
      <c r="K33" s="291">
        <v>0</v>
      </c>
      <c r="L33" s="306" t="s">
        <v>241</v>
      </c>
    </row>
    <row r="34" spans="1:12" ht="15">
      <c r="A34" s="740" t="s">
        <v>407</v>
      </c>
      <c r="B34" s="741"/>
      <c r="C34" s="740">
        <v>10192</v>
      </c>
      <c r="D34" s="741"/>
      <c r="E34" s="306" t="s">
        <v>411</v>
      </c>
      <c r="F34" s="740" t="s">
        <v>263</v>
      </c>
      <c r="G34" s="741"/>
      <c r="H34" s="742" t="s">
        <v>264</v>
      </c>
      <c r="I34" s="741"/>
      <c r="J34" s="291">
        <v>10620</v>
      </c>
      <c r="K34" s="291">
        <v>0</v>
      </c>
      <c r="L34" s="306" t="s">
        <v>241</v>
      </c>
    </row>
    <row r="35" spans="1:12" ht="15">
      <c r="A35" s="740" t="s">
        <v>310</v>
      </c>
      <c r="B35" s="741"/>
      <c r="C35" s="740">
        <v>10089</v>
      </c>
      <c r="D35" s="741"/>
      <c r="E35" s="306" t="s">
        <v>311</v>
      </c>
      <c r="F35" s="740" t="s">
        <v>261</v>
      </c>
      <c r="G35" s="741"/>
      <c r="H35" s="742" t="s">
        <v>262</v>
      </c>
      <c r="I35" s="741"/>
      <c r="J35" s="292">
        <v>1180</v>
      </c>
      <c r="K35" s="291">
        <v>0</v>
      </c>
      <c r="L35" s="306" t="s">
        <v>241</v>
      </c>
    </row>
    <row r="36" ht="12.75">
      <c r="J36" s="308">
        <f>SUM(J30:J35)</f>
        <v>164333.6</v>
      </c>
    </row>
    <row r="39" spans="1:12" ht="15">
      <c r="A39" s="740" t="s">
        <v>317</v>
      </c>
      <c r="B39" s="741"/>
      <c r="C39" s="740">
        <v>10088</v>
      </c>
      <c r="D39" s="741"/>
      <c r="E39" s="306" t="s">
        <v>318</v>
      </c>
      <c r="F39" s="740" t="s">
        <v>319</v>
      </c>
      <c r="G39" s="741"/>
      <c r="H39" s="742" t="s">
        <v>320</v>
      </c>
      <c r="I39" s="741"/>
      <c r="J39" s="291">
        <v>2700</v>
      </c>
      <c r="K39" s="291">
        <v>0</v>
      </c>
      <c r="L39" s="306" t="s">
        <v>241</v>
      </c>
    </row>
    <row r="40" spans="1:12" ht="15">
      <c r="A40" s="740" t="s">
        <v>321</v>
      </c>
      <c r="B40" s="741"/>
      <c r="C40" s="740">
        <v>10168</v>
      </c>
      <c r="D40" s="741"/>
      <c r="E40" s="306" t="s">
        <v>322</v>
      </c>
      <c r="F40" s="740" t="s">
        <v>319</v>
      </c>
      <c r="G40" s="741"/>
      <c r="H40" s="742" t="s">
        <v>320</v>
      </c>
      <c r="I40" s="741"/>
      <c r="J40" s="291">
        <v>0</v>
      </c>
      <c r="K40" s="291">
        <v>0</v>
      </c>
      <c r="L40" s="306" t="s">
        <v>316</v>
      </c>
    </row>
    <row r="41" spans="1:12" ht="15">
      <c r="A41" s="740" t="s">
        <v>401</v>
      </c>
      <c r="B41" s="741"/>
      <c r="C41" s="740">
        <v>10260</v>
      </c>
      <c r="D41" s="741"/>
      <c r="E41" s="306" t="s">
        <v>414</v>
      </c>
      <c r="F41" s="740" t="s">
        <v>319</v>
      </c>
      <c r="G41" s="741"/>
      <c r="H41" s="742" t="s">
        <v>320</v>
      </c>
      <c r="I41" s="741"/>
      <c r="J41" s="292">
        <v>2600</v>
      </c>
      <c r="K41" s="291">
        <v>0</v>
      </c>
      <c r="L41" s="306" t="s">
        <v>241</v>
      </c>
    </row>
    <row r="42" spans="1:12" ht="15">
      <c r="A42" s="293"/>
      <c r="B42" s="293"/>
      <c r="C42" s="293"/>
      <c r="D42" s="293"/>
      <c r="E42" s="293"/>
      <c r="F42" s="293"/>
      <c r="G42" s="293"/>
      <c r="H42" s="293"/>
      <c r="I42" s="293"/>
      <c r="J42" s="324">
        <v>5300</v>
      </c>
      <c r="K42" s="293"/>
      <c r="L42" s="293"/>
    </row>
  </sheetData>
  <sheetProtection/>
  <mergeCells count="140">
    <mergeCell ref="A1:B1"/>
    <mergeCell ref="C1:D1"/>
    <mergeCell ref="F1:G1"/>
    <mergeCell ref="H1:I1"/>
    <mergeCell ref="A2:B2"/>
    <mergeCell ref="C2:D2"/>
    <mergeCell ref="F2:G2"/>
    <mergeCell ref="H2:I2"/>
    <mergeCell ref="A3:B3"/>
    <mergeCell ref="C3:D3"/>
    <mergeCell ref="F3:G3"/>
    <mergeCell ref="H3:I3"/>
    <mergeCell ref="A4:B4"/>
    <mergeCell ref="C4:D4"/>
    <mergeCell ref="F4:G4"/>
    <mergeCell ref="H4:I4"/>
    <mergeCell ref="A5:B5"/>
    <mergeCell ref="C5:D5"/>
    <mergeCell ref="F5:G5"/>
    <mergeCell ref="H5:I5"/>
    <mergeCell ref="A6:B6"/>
    <mergeCell ref="C6:D6"/>
    <mergeCell ref="F6:G6"/>
    <mergeCell ref="H6:I6"/>
    <mergeCell ref="A7:B7"/>
    <mergeCell ref="C7:D7"/>
    <mergeCell ref="F7:G7"/>
    <mergeCell ref="H7:I7"/>
    <mergeCell ref="A8:B8"/>
    <mergeCell ref="C8:D8"/>
    <mergeCell ref="F8:G8"/>
    <mergeCell ref="H8:I8"/>
    <mergeCell ref="A9:B9"/>
    <mergeCell ref="C9:D9"/>
    <mergeCell ref="F9:G9"/>
    <mergeCell ref="H9:I9"/>
    <mergeCell ref="A10:B10"/>
    <mergeCell ref="C10:D10"/>
    <mergeCell ref="F10:G10"/>
    <mergeCell ref="H10:I10"/>
    <mergeCell ref="A11:B11"/>
    <mergeCell ref="C11:D11"/>
    <mergeCell ref="F11:G11"/>
    <mergeCell ref="H11:I11"/>
    <mergeCell ref="A12:B12"/>
    <mergeCell ref="C12:D12"/>
    <mergeCell ref="F12:G12"/>
    <mergeCell ref="H12:I12"/>
    <mergeCell ref="A13:B13"/>
    <mergeCell ref="C13:D13"/>
    <mergeCell ref="F13:G13"/>
    <mergeCell ref="H13:I13"/>
    <mergeCell ref="A14:B14"/>
    <mergeCell ref="C14:D14"/>
    <mergeCell ref="F14:G14"/>
    <mergeCell ref="H14:I14"/>
    <mergeCell ref="A15:B15"/>
    <mergeCell ref="C15:D15"/>
    <mergeCell ref="F15:G15"/>
    <mergeCell ref="H15:I15"/>
    <mergeCell ref="A16:B16"/>
    <mergeCell ref="C16:D16"/>
    <mergeCell ref="F16:G16"/>
    <mergeCell ref="H16:I16"/>
    <mergeCell ref="A17:B17"/>
    <mergeCell ref="C17:D17"/>
    <mergeCell ref="F17:G17"/>
    <mergeCell ref="H17:I17"/>
    <mergeCell ref="A18:B18"/>
    <mergeCell ref="C18:D18"/>
    <mergeCell ref="F18:G18"/>
    <mergeCell ref="H18:I18"/>
    <mergeCell ref="F32:G32"/>
    <mergeCell ref="H32:I32"/>
    <mergeCell ref="A21:B21"/>
    <mergeCell ref="C21:D21"/>
    <mergeCell ref="F21:G21"/>
    <mergeCell ref="H21:I21"/>
    <mergeCell ref="A22:B22"/>
    <mergeCell ref="C22:D22"/>
    <mergeCell ref="F22:G22"/>
    <mergeCell ref="H22:I22"/>
    <mergeCell ref="A27:B27"/>
    <mergeCell ref="C27:D27"/>
    <mergeCell ref="F27:G27"/>
    <mergeCell ref="H27:I27"/>
    <mergeCell ref="A33:B33"/>
    <mergeCell ref="C33:D33"/>
    <mergeCell ref="F33:G33"/>
    <mergeCell ref="H33:I33"/>
    <mergeCell ref="A29:B29"/>
    <mergeCell ref="C29:D29"/>
    <mergeCell ref="F29:G29"/>
    <mergeCell ref="H29:I29"/>
    <mergeCell ref="A32:B32"/>
    <mergeCell ref="C32:D32"/>
    <mergeCell ref="A19:B19"/>
    <mergeCell ref="C19:D19"/>
    <mergeCell ref="F19:G19"/>
    <mergeCell ref="H19:I19"/>
    <mergeCell ref="A20:B20"/>
    <mergeCell ref="C20:D20"/>
    <mergeCell ref="F20:G20"/>
    <mergeCell ref="H20:I20"/>
    <mergeCell ref="A26:B26"/>
    <mergeCell ref="C26:D26"/>
    <mergeCell ref="F26:G26"/>
    <mergeCell ref="H26:I26"/>
    <mergeCell ref="A24:B24"/>
    <mergeCell ref="C24:D24"/>
    <mergeCell ref="F24:G24"/>
    <mergeCell ref="H24:I24"/>
    <mergeCell ref="A30:B30"/>
    <mergeCell ref="C30:D30"/>
    <mergeCell ref="F30:G30"/>
    <mergeCell ref="H30:I30"/>
    <mergeCell ref="F40:G40"/>
    <mergeCell ref="H40:I40"/>
    <mergeCell ref="A31:B31"/>
    <mergeCell ref="C31:D31"/>
    <mergeCell ref="F31:G31"/>
    <mergeCell ref="H31:I31"/>
    <mergeCell ref="A41:B41"/>
    <mergeCell ref="C41:D41"/>
    <mergeCell ref="F41:G41"/>
    <mergeCell ref="H41:I41"/>
    <mergeCell ref="A39:B39"/>
    <mergeCell ref="C39:D39"/>
    <mergeCell ref="F39:G39"/>
    <mergeCell ref="H39:I39"/>
    <mergeCell ref="A40:B40"/>
    <mergeCell ref="C40:D40"/>
    <mergeCell ref="A34:B34"/>
    <mergeCell ref="C34:D34"/>
    <mergeCell ref="F34:G34"/>
    <mergeCell ref="H34:I34"/>
    <mergeCell ref="A35:B35"/>
    <mergeCell ref="C35:D35"/>
    <mergeCell ref="F35:G35"/>
    <mergeCell ref="H35:I35"/>
  </mergeCells>
  <printOptions/>
  <pageMargins left="0.17" right="0.7086614173228347" top="0.7480314960629921" bottom="0.7480314960629921" header="0.31496062992125984" footer="0.31496062992125984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">
      <selection activeCell="K81" sqref="K81"/>
    </sheetView>
  </sheetViews>
  <sheetFormatPr defaultColWidth="11.421875" defaultRowHeight="12.75"/>
  <cols>
    <col min="2" max="2" width="31.140625" style="0" customWidth="1"/>
    <col min="3" max="3" width="15.8515625" style="0" customWidth="1"/>
    <col min="4" max="4" width="15.00390625" style="0" customWidth="1"/>
    <col min="5" max="5" width="17.57421875" style="0" customWidth="1"/>
    <col min="6" max="6" width="14.8515625" style="0" customWidth="1"/>
    <col min="7" max="7" width="15.421875" style="0" customWidth="1"/>
    <col min="8" max="8" width="13.8515625" style="0" bestFit="1" customWidth="1"/>
    <col min="11" max="11" width="12.7109375" style="0" customWidth="1"/>
  </cols>
  <sheetData>
    <row r="1" spans="1:7" ht="15.75">
      <c r="A1" s="507" t="s">
        <v>705</v>
      </c>
      <c r="B1" s="507" t="s">
        <v>706</v>
      </c>
      <c r="C1" s="507" t="s">
        <v>707</v>
      </c>
      <c r="D1" s="507" t="s">
        <v>708</v>
      </c>
      <c r="E1" s="507" t="s">
        <v>709</v>
      </c>
      <c r="F1" s="507" t="s">
        <v>710</v>
      </c>
      <c r="G1" s="507" t="s">
        <v>711</v>
      </c>
    </row>
    <row r="2" spans="1:11" ht="12.75">
      <c r="A2" s="508" t="s">
        <v>712</v>
      </c>
      <c r="B2" s="508" t="s">
        <v>713</v>
      </c>
      <c r="C2" s="509">
        <v>98282323.22</v>
      </c>
      <c r="D2" s="509">
        <v>98282323.22</v>
      </c>
      <c r="E2" s="509">
        <v>98212989.82</v>
      </c>
      <c r="F2" s="509">
        <v>98212989.82</v>
      </c>
      <c r="G2" s="509">
        <v>98212989.82</v>
      </c>
      <c r="K2" s="118">
        <f>E2-G2</f>
        <v>0</v>
      </c>
    </row>
    <row r="3" spans="1:11" ht="12.75">
      <c r="A3" s="508" t="s">
        <v>714</v>
      </c>
      <c r="B3" s="508" t="s">
        <v>715</v>
      </c>
      <c r="C3" s="509">
        <v>3317000</v>
      </c>
      <c r="D3" s="509">
        <v>3131000</v>
      </c>
      <c r="E3" s="509">
        <v>3100000</v>
      </c>
      <c r="F3" s="509">
        <v>3100000</v>
      </c>
      <c r="G3" s="509">
        <v>3100000</v>
      </c>
      <c r="K3" s="118">
        <f aca="true" t="shared" si="0" ref="K3:K66">E3-G3</f>
        <v>0</v>
      </c>
    </row>
    <row r="4" spans="1:11" ht="12.75">
      <c r="A4" s="508" t="s">
        <v>716</v>
      </c>
      <c r="B4" s="508" t="s">
        <v>717</v>
      </c>
      <c r="C4" s="509">
        <v>81499.89</v>
      </c>
      <c r="D4" s="509">
        <v>81499.89</v>
      </c>
      <c r="E4" s="509">
        <v>0</v>
      </c>
      <c r="F4" s="509">
        <v>0</v>
      </c>
      <c r="G4" s="509">
        <v>0</v>
      </c>
      <c r="K4" s="118">
        <f t="shared" si="0"/>
        <v>0</v>
      </c>
    </row>
    <row r="5" spans="1:11" ht="12.75">
      <c r="A5" s="508" t="s">
        <v>718</v>
      </c>
      <c r="B5" s="508" t="s">
        <v>719</v>
      </c>
      <c r="C5" s="509">
        <v>3631000</v>
      </c>
      <c r="D5" s="509">
        <v>3631000</v>
      </c>
      <c r="E5" s="509">
        <v>3563000</v>
      </c>
      <c r="F5" s="509">
        <v>3563000</v>
      </c>
      <c r="G5" s="509">
        <v>3563000</v>
      </c>
      <c r="K5" s="118">
        <f t="shared" si="0"/>
        <v>0</v>
      </c>
    </row>
    <row r="6" spans="1:11" ht="12.75">
      <c r="A6" s="508" t="s">
        <v>720</v>
      </c>
      <c r="B6" s="508" t="s">
        <v>721</v>
      </c>
      <c r="C6" s="509">
        <v>384171.68</v>
      </c>
      <c r="D6" s="509">
        <v>384171.68</v>
      </c>
      <c r="E6" s="509">
        <v>384171.68</v>
      </c>
      <c r="F6" s="509">
        <v>384171.68</v>
      </c>
      <c r="G6" s="509">
        <v>384171.68</v>
      </c>
      <c r="K6" s="118">
        <f t="shared" si="0"/>
        <v>0</v>
      </c>
    </row>
    <row r="7" spans="1:11" ht="12.75">
      <c r="A7" s="508" t="s">
        <v>722</v>
      </c>
      <c r="B7" s="508" t="s">
        <v>723</v>
      </c>
      <c r="C7" s="509">
        <v>3102000</v>
      </c>
      <c r="D7" s="509">
        <v>3102000</v>
      </c>
      <c r="E7" s="509">
        <v>3102000</v>
      </c>
      <c r="F7" s="509">
        <v>3102000</v>
      </c>
      <c r="G7" s="509">
        <v>3102000</v>
      </c>
      <c r="K7" s="118">
        <f t="shared" si="0"/>
        <v>0</v>
      </c>
    </row>
    <row r="8" spans="1:11" ht="12.75">
      <c r="A8" s="508" t="s">
        <v>724</v>
      </c>
      <c r="B8" s="508" t="s">
        <v>725</v>
      </c>
      <c r="C8" s="509">
        <v>6908513.09</v>
      </c>
      <c r="D8" s="509">
        <v>6908513.09</v>
      </c>
      <c r="E8" s="509">
        <v>6901399.45</v>
      </c>
      <c r="F8" s="509">
        <v>6901399.45</v>
      </c>
      <c r="G8" s="509">
        <v>6901399.45</v>
      </c>
      <c r="K8" s="118">
        <f t="shared" si="0"/>
        <v>0</v>
      </c>
    </row>
    <row r="9" spans="1:11" ht="12.75">
      <c r="A9" s="508" t="s">
        <v>726</v>
      </c>
      <c r="B9" s="508" t="s">
        <v>727</v>
      </c>
      <c r="C9" s="509">
        <v>7177563.51</v>
      </c>
      <c r="D9" s="509">
        <v>7177563.51</v>
      </c>
      <c r="E9" s="509">
        <v>7170439.84</v>
      </c>
      <c r="F9" s="509">
        <v>7170439.84</v>
      </c>
      <c r="G9" s="509">
        <v>7170439.84</v>
      </c>
      <c r="K9" s="118">
        <f t="shared" si="0"/>
        <v>0</v>
      </c>
    </row>
    <row r="10" spans="1:11" ht="12.75">
      <c r="A10" s="508" t="s">
        <v>728</v>
      </c>
      <c r="B10" s="508" t="s">
        <v>729</v>
      </c>
      <c r="C10" s="509">
        <v>942433.55</v>
      </c>
      <c r="D10" s="509">
        <v>942433.55</v>
      </c>
      <c r="E10" s="509">
        <v>941469.54</v>
      </c>
      <c r="F10" s="509">
        <v>941469.54</v>
      </c>
      <c r="G10" s="509">
        <v>941469.54</v>
      </c>
      <c r="K10" s="118">
        <f t="shared" si="0"/>
        <v>0</v>
      </c>
    </row>
    <row r="11" spans="1:11" ht="12.75">
      <c r="A11" s="508" t="s">
        <v>730</v>
      </c>
      <c r="B11" s="508" t="s">
        <v>731</v>
      </c>
      <c r="C11" s="509">
        <v>217893.97</v>
      </c>
      <c r="D11" s="509">
        <v>217893.97</v>
      </c>
      <c r="E11" s="509">
        <v>217893.97</v>
      </c>
      <c r="F11" s="509">
        <v>217893.97</v>
      </c>
      <c r="G11" s="509">
        <v>217893.97</v>
      </c>
      <c r="H11" s="512">
        <f>E11+E12+E13</f>
        <v>5969737.8100000005</v>
      </c>
      <c r="I11" s="513" t="s">
        <v>866</v>
      </c>
      <c r="J11" s="513"/>
      <c r="K11" s="118">
        <f t="shared" si="0"/>
        <v>0</v>
      </c>
    </row>
    <row r="12" spans="1:11" ht="12.75">
      <c r="A12" s="508" t="s">
        <v>732</v>
      </c>
      <c r="B12" s="508" t="s">
        <v>733</v>
      </c>
      <c r="C12" s="509">
        <v>4326602.57</v>
      </c>
      <c r="D12" s="509">
        <v>4326602.57</v>
      </c>
      <c r="E12" s="509">
        <v>4326602.57</v>
      </c>
      <c r="F12" s="509">
        <v>4326602.57</v>
      </c>
      <c r="G12" s="509">
        <v>4326602.57</v>
      </c>
      <c r="K12" s="118">
        <f t="shared" si="0"/>
        <v>0</v>
      </c>
    </row>
    <row r="13" spans="1:11" ht="12.75">
      <c r="A13" s="508" t="s">
        <v>734</v>
      </c>
      <c r="B13" s="508" t="s">
        <v>735</v>
      </c>
      <c r="C13" s="509">
        <v>1425241.27</v>
      </c>
      <c r="D13" s="509">
        <v>1425241.27</v>
      </c>
      <c r="E13" s="509">
        <v>1425241.27</v>
      </c>
      <c r="F13" s="509">
        <v>1425241.27</v>
      </c>
      <c r="G13" s="509">
        <v>1425241.27</v>
      </c>
      <c r="K13" s="118">
        <f t="shared" si="0"/>
        <v>0</v>
      </c>
    </row>
    <row r="14" spans="1:11" ht="12.75">
      <c r="A14" s="508" t="s">
        <v>736</v>
      </c>
      <c r="B14" s="508" t="s">
        <v>737</v>
      </c>
      <c r="C14" s="509">
        <v>3050230.71</v>
      </c>
      <c r="D14" s="509">
        <v>3050230.71</v>
      </c>
      <c r="E14" s="509">
        <v>3050230.71</v>
      </c>
      <c r="F14" s="509">
        <v>3050230.71</v>
      </c>
      <c r="G14" s="509">
        <v>3050230.71</v>
      </c>
      <c r="H14" s="512">
        <f>E14+E15+E16</f>
        <v>3253143.41</v>
      </c>
      <c r="I14" s="513" t="s">
        <v>867</v>
      </c>
      <c r="J14" s="513"/>
      <c r="K14" s="118">
        <f t="shared" si="0"/>
        <v>0</v>
      </c>
    </row>
    <row r="15" spans="1:11" ht="12.75">
      <c r="A15" s="508" t="s">
        <v>738</v>
      </c>
      <c r="B15" s="508" t="s">
        <v>739</v>
      </c>
      <c r="C15" s="509">
        <v>199162.7</v>
      </c>
      <c r="D15" s="509">
        <v>199162.7</v>
      </c>
      <c r="E15" s="509">
        <v>199162.7</v>
      </c>
      <c r="F15" s="509">
        <v>65023</v>
      </c>
      <c r="G15" s="509">
        <v>62323</v>
      </c>
      <c r="K15" s="118">
        <f t="shared" si="0"/>
        <v>136839.7</v>
      </c>
    </row>
    <row r="16" spans="1:11" ht="12.75">
      <c r="A16" s="508" t="s">
        <v>740</v>
      </c>
      <c r="B16" s="508" t="s">
        <v>741</v>
      </c>
      <c r="C16" s="509">
        <v>3750</v>
      </c>
      <c r="D16" s="509">
        <v>3750</v>
      </c>
      <c r="E16" s="509">
        <v>3750</v>
      </c>
      <c r="F16" s="509">
        <v>3750</v>
      </c>
      <c r="G16" s="509">
        <v>3750</v>
      </c>
      <c r="K16" s="118">
        <f t="shared" si="0"/>
        <v>0</v>
      </c>
    </row>
    <row r="17" spans="1:11" ht="12.75">
      <c r="A17" s="508" t="s">
        <v>742</v>
      </c>
      <c r="B17" s="508" t="s">
        <v>743</v>
      </c>
      <c r="C17" s="509">
        <v>9883332.83</v>
      </c>
      <c r="D17" s="509">
        <v>7783511.02</v>
      </c>
      <c r="E17" s="509">
        <v>7643111.02</v>
      </c>
      <c r="F17" s="509">
        <v>7643111.02</v>
      </c>
      <c r="G17" s="509">
        <v>7643111.02</v>
      </c>
      <c r="H17" s="512">
        <f>E17+E18</f>
        <v>10476338.219999999</v>
      </c>
      <c r="I17" s="513" t="s">
        <v>868</v>
      </c>
      <c r="J17" s="513"/>
      <c r="K17" s="118">
        <f t="shared" si="0"/>
        <v>0</v>
      </c>
    </row>
    <row r="18" spans="1:11" ht="12.75">
      <c r="A18" s="508" t="s">
        <v>744</v>
      </c>
      <c r="B18" s="508" t="s">
        <v>745</v>
      </c>
      <c r="C18" s="509">
        <v>2841487.2</v>
      </c>
      <c r="D18" s="509">
        <v>2841487.2</v>
      </c>
      <c r="E18" s="509">
        <v>2833227.2</v>
      </c>
      <c r="F18" s="509">
        <v>2833227.2</v>
      </c>
      <c r="G18" s="509">
        <v>2476454.2</v>
      </c>
      <c r="K18" s="118">
        <f t="shared" si="0"/>
        <v>356773</v>
      </c>
    </row>
    <row r="19" spans="1:11" ht="12.75">
      <c r="A19" s="508" t="s">
        <v>746</v>
      </c>
      <c r="B19" s="508" t="s">
        <v>747</v>
      </c>
      <c r="C19" s="509">
        <v>949000.64</v>
      </c>
      <c r="D19" s="509">
        <v>910666.64</v>
      </c>
      <c r="E19" s="509">
        <v>786166.64</v>
      </c>
      <c r="F19" s="509">
        <v>786166.64</v>
      </c>
      <c r="G19" s="509">
        <v>786166.64</v>
      </c>
      <c r="H19" s="512">
        <f>E19+E20</f>
        <v>4652791.93</v>
      </c>
      <c r="I19" s="513" t="s">
        <v>623</v>
      </c>
      <c r="K19" s="118">
        <f t="shared" si="0"/>
        <v>0</v>
      </c>
    </row>
    <row r="20" spans="1:11" ht="12.75">
      <c r="A20" s="508" t="s">
        <v>748</v>
      </c>
      <c r="B20" s="508" t="s">
        <v>749</v>
      </c>
      <c r="C20" s="509">
        <v>3866625.29</v>
      </c>
      <c r="D20" s="509">
        <v>3866625.29</v>
      </c>
      <c r="E20" s="509">
        <v>3866625.29</v>
      </c>
      <c r="F20" s="509">
        <v>3866625.29</v>
      </c>
      <c r="G20" s="509">
        <v>3866625.29</v>
      </c>
      <c r="K20" s="118">
        <f t="shared" si="0"/>
        <v>0</v>
      </c>
    </row>
    <row r="21" spans="1:11" ht="12.75">
      <c r="A21" s="508" t="s">
        <v>750</v>
      </c>
      <c r="B21" s="508" t="s">
        <v>751</v>
      </c>
      <c r="C21" s="509">
        <v>2422483.36</v>
      </c>
      <c r="D21" s="509">
        <v>2405816.36</v>
      </c>
      <c r="E21" s="509">
        <v>2243016.36</v>
      </c>
      <c r="F21" s="509">
        <v>2243016.36</v>
      </c>
      <c r="G21" s="509">
        <v>2243016.36</v>
      </c>
      <c r="H21" s="512">
        <f>E21+E22</f>
        <v>2244516.36</v>
      </c>
      <c r="I21" s="513" t="s">
        <v>869</v>
      </c>
      <c r="K21" s="118">
        <f t="shared" si="0"/>
        <v>0</v>
      </c>
    </row>
    <row r="22" spans="1:11" ht="12.75">
      <c r="A22" s="508" t="s">
        <v>752</v>
      </c>
      <c r="B22" s="508" t="s">
        <v>753</v>
      </c>
      <c r="C22" s="509">
        <v>1500</v>
      </c>
      <c r="D22" s="509">
        <v>1500</v>
      </c>
      <c r="E22" s="509">
        <v>1500</v>
      </c>
      <c r="F22" s="509">
        <v>1500</v>
      </c>
      <c r="G22" s="509">
        <v>1500</v>
      </c>
      <c r="K22" s="118">
        <f t="shared" si="0"/>
        <v>0</v>
      </c>
    </row>
    <row r="23" spans="1:11" ht="12.75">
      <c r="A23" s="508" t="s">
        <v>754</v>
      </c>
      <c r="B23" s="508" t="s">
        <v>755</v>
      </c>
      <c r="C23" s="509">
        <v>7371545.02</v>
      </c>
      <c r="D23" s="509">
        <v>4488350.44</v>
      </c>
      <c r="E23" s="509">
        <v>4480627.24</v>
      </c>
      <c r="F23" s="509">
        <v>4480627.24</v>
      </c>
      <c r="G23" s="509">
        <v>4355344.09</v>
      </c>
      <c r="H23" s="512">
        <f>E23+E24+E25</f>
        <v>6438784.93</v>
      </c>
      <c r="I23" s="513" t="s">
        <v>870</v>
      </c>
      <c r="K23" s="118">
        <f t="shared" si="0"/>
        <v>125283.15000000037</v>
      </c>
    </row>
    <row r="24" spans="1:11" ht="12.75">
      <c r="A24" s="508" t="s">
        <v>756</v>
      </c>
      <c r="B24" s="508" t="s">
        <v>757</v>
      </c>
      <c r="C24" s="509">
        <v>175230</v>
      </c>
      <c r="D24" s="509">
        <v>175230</v>
      </c>
      <c r="E24" s="509">
        <v>175230</v>
      </c>
      <c r="F24" s="509">
        <v>175230</v>
      </c>
      <c r="G24" s="509">
        <v>55224</v>
      </c>
      <c r="K24" s="118">
        <f t="shared" si="0"/>
        <v>120006</v>
      </c>
    </row>
    <row r="25" spans="1:11" ht="12.75">
      <c r="A25" s="508" t="s">
        <v>758</v>
      </c>
      <c r="B25" s="508" t="s">
        <v>759</v>
      </c>
      <c r="C25" s="509">
        <v>1949736.89</v>
      </c>
      <c r="D25" s="509">
        <v>1902480.09</v>
      </c>
      <c r="E25" s="509">
        <v>1782927.69</v>
      </c>
      <c r="F25" s="509">
        <v>1782927.69</v>
      </c>
      <c r="G25" s="509">
        <v>1650563.2</v>
      </c>
      <c r="K25" s="118">
        <f t="shared" si="0"/>
        <v>132364.49</v>
      </c>
    </row>
    <row r="26" spans="1:11" ht="12.75">
      <c r="A26" s="508" t="s">
        <v>760</v>
      </c>
      <c r="B26" s="508" t="s">
        <v>761</v>
      </c>
      <c r="C26" s="509">
        <v>1512621.89</v>
      </c>
      <c r="D26" s="509">
        <v>1512621.89</v>
      </c>
      <c r="E26" s="509">
        <v>1512621.89</v>
      </c>
      <c r="F26" s="509">
        <v>1512621.89</v>
      </c>
      <c r="G26" s="509">
        <v>1512621.89</v>
      </c>
      <c r="H26" s="514">
        <f>E26</f>
        <v>1512621.89</v>
      </c>
      <c r="I26" s="513" t="s">
        <v>17</v>
      </c>
      <c r="K26" s="118">
        <f t="shared" si="0"/>
        <v>0</v>
      </c>
    </row>
    <row r="27" spans="1:11" ht="12.75">
      <c r="A27" s="508" t="s">
        <v>762</v>
      </c>
      <c r="B27" s="508" t="s">
        <v>763</v>
      </c>
      <c r="C27" s="509">
        <v>792966.66</v>
      </c>
      <c r="D27" s="509">
        <v>553768.72</v>
      </c>
      <c r="E27" s="509">
        <v>553768.72</v>
      </c>
      <c r="F27" s="509">
        <v>553768.72</v>
      </c>
      <c r="G27" s="509">
        <v>240000</v>
      </c>
      <c r="K27" s="118">
        <f t="shared" si="0"/>
        <v>313768.72</v>
      </c>
    </row>
    <row r="28" spans="1:11" ht="12.75">
      <c r="A28" s="508" t="s">
        <v>764</v>
      </c>
      <c r="B28" s="508" t="s">
        <v>765</v>
      </c>
      <c r="C28" s="509">
        <v>531874.77</v>
      </c>
      <c r="D28" s="509">
        <v>520058.77</v>
      </c>
      <c r="E28" s="509">
        <v>448164</v>
      </c>
      <c r="F28" s="509">
        <v>448164</v>
      </c>
      <c r="G28" s="509">
        <v>0</v>
      </c>
      <c r="H28" s="512">
        <f>E27+E28+E29+E30</f>
        <v>2411630.59</v>
      </c>
      <c r="I28" s="513" t="s">
        <v>871</v>
      </c>
      <c r="J28" s="513"/>
      <c r="K28" s="118">
        <f t="shared" si="0"/>
        <v>448164</v>
      </c>
    </row>
    <row r="29" spans="1:11" ht="12.75">
      <c r="A29" s="508" t="s">
        <v>766</v>
      </c>
      <c r="B29" s="508" t="s">
        <v>767</v>
      </c>
      <c r="C29" s="509">
        <v>1162300</v>
      </c>
      <c r="D29" s="509">
        <v>1162300</v>
      </c>
      <c r="E29" s="509">
        <v>1162300</v>
      </c>
      <c r="F29" s="509">
        <v>1162300</v>
      </c>
      <c r="G29" s="509">
        <v>0</v>
      </c>
      <c r="K29" s="118">
        <f t="shared" si="0"/>
        <v>1162300</v>
      </c>
    </row>
    <row r="30" spans="1:11" ht="12.75">
      <c r="A30" s="508" t="s">
        <v>768</v>
      </c>
      <c r="B30" s="508" t="s">
        <v>769</v>
      </c>
      <c r="C30" s="509">
        <v>493464.7</v>
      </c>
      <c r="D30" s="509">
        <v>444434.7</v>
      </c>
      <c r="E30" s="509">
        <v>247397.87</v>
      </c>
      <c r="F30" s="509">
        <v>247397.87</v>
      </c>
      <c r="G30" s="509">
        <v>44652.63</v>
      </c>
      <c r="K30" s="118">
        <f t="shared" si="0"/>
        <v>202745.24</v>
      </c>
    </row>
    <row r="31" spans="1:11" ht="12.75">
      <c r="A31" s="508" t="s">
        <v>770</v>
      </c>
      <c r="B31" s="508" t="s">
        <v>771</v>
      </c>
      <c r="C31" s="509">
        <v>66670</v>
      </c>
      <c r="D31" s="509">
        <v>66670</v>
      </c>
      <c r="E31" s="509">
        <v>0</v>
      </c>
      <c r="F31" s="509">
        <v>0</v>
      </c>
      <c r="G31" s="509">
        <v>0</v>
      </c>
      <c r="K31" s="118">
        <f t="shared" si="0"/>
        <v>0</v>
      </c>
    </row>
    <row r="32" spans="1:11" ht="12.75">
      <c r="A32" s="508" t="s">
        <v>772</v>
      </c>
      <c r="B32" s="508" t="s">
        <v>773</v>
      </c>
      <c r="C32" s="509">
        <v>25696.99</v>
      </c>
      <c r="D32" s="509">
        <v>24696.99</v>
      </c>
      <c r="E32" s="515">
        <v>24696.99</v>
      </c>
      <c r="F32" s="509">
        <v>24696.99</v>
      </c>
      <c r="G32" s="509">
        <v>24696.99</v>
      </c>
      <c r="K32" s="118">
        <f t="shared" si="0"/>
        <v>0</v>
      </c>
    </row>
    <row r="33" spans="1:11" ht="12.75">
      <c r="A33" s="508" t="s">
        <v>774</v>
      </c>
      <c r="B33" s="508" t="s">
        <v>775</v>
      </c>
      <c r="C33" s="509">
        <v>119180</v>
      </c>
      <c r="D33" s="509">
        <v>119180</v>
      </c>
      <c r="E33" s="509">
        <v>0</v>
      </c>
      <c r="F33" s="509">
        <v>0</v>
      </c>
      <c r="G33" s="509">
        <v>0</v>
      </c>
      <c r="K33" s="118">
        <f t="shared" si="0"/>
        <v>0</v>
      </c>
    </row>
    <row r="34" spans="1:11" ht="12.75">
      <c r="A34" s="508" t="s">
        <v>776</v>
      </c>
      <c r="B34" s="508" t="s">
        <v>777</v>
      </c>
      <c r="C34" s="509">
        <v>4796691.94</v>
      </c>
      <c r="D34" s="509">
        <v>4795393.94</v>
      </c>
      <c r="E34" s="509">
        <v>4795393.94</v>
      </c>
      <c r="F34" s="509">
        <v>4795393.94</v>
      </c>
      <c r="G34" s="509">
        <v>4795393.94</v>
      </c>
      <c r="H34" s="512">
        <f>E34</f>
        <v>4795393.94</v>
      </c>
      <c r="I34" s="513" t="s">
        <v>872</v>
      </c>
      <c r="K34" s="118">
        <f t="shared" si="0"/>
        <v>0</v>
      </c>
    </row>
    <row r="35" spans="1:11" ht="12.75">
      <c r="A35" s="508" t="s">
        <v>778</v>
      </c>
      <c r="B35" s="508" t="s">
        <v>779</v>
      </c>
      <c r="C35" s="509">
        <v>271666.67</v>
      </c>
      <c r="D35" s="509">
        <v>271666.67</v>
      </c>
      <c r="E35" s="509">
        <v>271666.67</v>
      </c>
      <c r="F35" s="509">
        <v>271666.67</v>
      </c>
      <c r="G35" s="509">
        <v>271666.67</v>
      </c>
      <c r="H35" s="512">
        <f>E36+E37+E38+E39+E35</f>
        <v>7311910.96</v>
      </c>
      <c r="I35" s="513" t="s">
        <v>874</v>
      </c>
      <c r="J35" s="513"/>
      <c r="K35" s="118">
        <f t="shared" si="0"/>
        <v>0</v>
      </c>
    </row>
    <row r="36" spans="1:11" ht="12.75">
      <c r="A36" s="508" t="s">
        <v>780</v>
      </c>
      <c r="B36" s="508" t="s">
        <v>781</v>
      </c>
      <c r="C36" s="509">
        <v>156350</v>
      </c>
      <c r="D36" s="509">
        <v>156350</v>
      </c>
      <c r="E36" s="509">
        <v>156350</v>
      </c>
      <c r="F36" s="509">
        <v>156350</v>
      </c>
      <c r="G36" s="509">
        <v>115050</v>
      </c>
      <c r="K36" s="118">
        <f t="shared" si="0"/>
        <v>41300</v>
      </c>
    </row>
    <row r="37" spans="1:11" ht="12.75">
      <c r="A37" s="508" t="s">
        <v>782</v>
      </c>
      <c r="B37" s="508" t="s">
        <v>783</v>
      </c>
      <c r="C37" s="509">
        <v>603313.6</v>
      </c>
      <c r="D37" s="509">
        <v>603313.6</v>
      </c>
      <c r="E37" s="509">
        <v>603313.6</v>
      </c>
      <c r="F37" s="509">
        <v>603313.6</v>
      </c>
      <c r="G37" s="509">
        <v>562013.6</v>
      </c>
      <c r="K37" s="118">
        <f t="shared" si="0"/>
        <v>41300</v>
      </c>
    </row>
    <row r="38" spans="1:11" ht="12.75">
      <c r="A38" s="508" t="s">
        <v>784</v>
      </c>
      <c r="B38" s="508" t="s">
        <v>785</v>
      </c>
      <c r="C38" s="509">
        <v>1000350.9</v>
      </c>
      <c r="D38" s="509">
        <v>1000350.9</v>
      </c>
      <c r="E38" s="509">
        <v>115350.9</v>
      </c>
      <c r="F38" s="509">
        <v>115350.9</v>
      </c>
      <c r="G38" s="509">
        <v>115350.9</v>
      </c>
      <c r="K38" s="118">
        <f t="shared" si="0"/>
        <v>0</v>
      </c>
    </row>
    <row r="39" spans="1:11" ht="12.75">
      <c r="A39" s="508" t="s">
        <v>786</v>
      </c>
      <c r="B39" s="508" t="s">
        <v>787</v>
      </c>
      <c r="C39" s="509">
        <v>9688716.39</v>
      </c>
      <c r="D39" s="509">
        <v>6192216.39</v>
      </c>
      <c r="E39" s="509">
        <v>6165229.79</v>
      </c>
      <c r="F39" s="509">
        <v>5918229.79</v>
      </c>
      <c r="G39" s="509">
        <v>5693439.79</v>
      </c>
      <c r="K39" s="118">
        <f t="shared" si="0"/>
        <v>471790</v>
      </c>
    </row>
    <row r="40" spans="1:11" ht="12.75">
      <c r="A40" s="508" t="s">
        <v>788</v>
      </c>
      <c r="B40" s="508" t="s">
        <v>789</v>
      </c>
      <c r="C40" s="509">
        <v>480200.01</v>
      </c>
      <c r="D40" s="509">
        <v>478700.01</v>
      </c>
      <c r="E40" s="509">
        <v>478700.01</v>
      </c>
      <c r="F40" s="509">
        <v>478700.01</v>
      </c>
      <c r="G40" s="509">
        <v>478700.01</v>
      </c>
      <c r="H40" s="512">
        <f>E40+E32</f>
        <v>503397</v>
      </c>
      <c r="I40" s="513" t="s">
        <v>873</v>
      </c>
      <c r="K40" s="118">
        <f t="shared" si="0"/>
        <v>0</v>
      </c>
    </row>
    <row r="41" spans="1:11" ht="12.75">
      <c r="A41" s="508"/>
      <c r="B41" s="508"/>
      <c r="C41" s="509"/>
      <c r="D41" s="509"/>
      <c r="E41" s="509"/>
      <c r="F41" s="509"/>
      <c r="G41" s="509"/>
      <c r="H41" s="512"/>
      <c r="I41" s="513"/>
      <c r="K41" s="118">
        <f t="shared" si="0"/>
        <v>0</v>
      </c>
    </row>
    <row r="42" spans="1:11" ht="12.75">
      <c r="A42" s="508" t="s">
        <v>790</v>
      </c>
      <c r="B42" s="508" t="s">
        <v>791</v>
      </c>
      <c r="C42" s="509">
        <v>8936310.43</v>
      </c>
      <c r="D42" s="509">
        <v>8833401.75</v>
      </c>
      <c r="E42" s="509">
        <v>7876445.53</v>
      </c>
      <c r="F42" s="509">
        <v>7876445.53</v>
      </c>
      <c r="G42" s="509">
        <v>6001885.61</v>
      </c>
      <c r="H42" s="512">
        <f>E42+E43</f>
        <v>7955145.53</v>
      </c>
      <c r="I42" s="513" t="s">
        <v>627</v>
      </c>
      <c r="J42" s="513"/>
      <c r="K42" s="118">
        <f t="shared" si="0"/>
        <v>1874559.92</v>
      </c>
    </row>
    <row r="43" spans="1:11" ht="12.75">
      <c r="A43" s="508" t="s">
        <v>792</v>
      </c>
      <c r="B43" s="508" t="s">
        <v>793</v>
      </c>
      <c r="C43" s="509">
        <v>118820</v>
      </c>
      <c r="D43" s="509">
        <v>118820</v>
      </c>
      <c r="E43" s="509">
        <v>78700</v>
      </c>
      <c r="F43" s="509">
        <v>78700</v>
      </c>
      <c r="G43" s="509">
        <v>78700</v>
      </c>
      <c r="K43" s="118">
        <f t="shared" si="0"/>
        <v>0</v>
      </c>
    </row>
    <row r="44" spans="1:11" ht="12.75">
      <c r="A44" s="508" t="s">
        <v>794</v>
      </c>
      <c r="B44" s="508" t="s">
        <v>795</v>
      </c>
      <c r="C44" s="509">
        <v>47790</v>
      </c>
      <c r="D44" s="509">
        <v>0</v>
      </c>
      <c r="E44" s="509">
        <v>0</v>
      </c>
      <c r="F44" s="509">
        <v>0</v>
      </c>
      <c r="G44" s="509">
        <v>0</v>
      </c>
      <c r="H44" s="512">
        <f>E45+E46</f>
        <v>1798700</v>
      </c>
      <c r="I44" s="513" t="s">
        <v>875</v>
      </c>
      <c r="J44" s="513"/>
      <c r="K44" s="118">
        <f t="shared" si="0"/>
        <v>0</v>
      </c>
    </row>
    <row r="45" spans="1:11" ht="12.75">
      <c r="A45" s="508" t="s">
        <v>796</v>
      </c>
      <c r="B45" s="508" t="s">
        <v>797</v>
      </c>
      <c r="C45" s="509">
        <v>675</v>
      </c>
      <c r="D45" s="509">
        <v>675</v>
      </c>
      <c r="E45" s="509">
        <v>675</v>
      </c>
      <c r="F45" s="509">
        <v>675</v>
      </c>
      <c r="G45" s="509">
        <v>675</v>
      </c>
      <c r="K45" s="118">
        <f t="shared" si="0"/>
        <v>0</v>
      </c>
    </row>
    <row r="46" spans="1:11" ht="12.75">
      <c r="A46" s="508" t="s">
        <v>798</v>
      </c>
      <c r="B46" s="508" t="s">
        <v>799</v>
      </c>
      <c r="C46" s="509">
        <v>1835785</v>
      </c>
      <c r="D46" s="509">
        <v>1798025</v>
      </c>
      <c r="E46" s="509">
        <v>1798025</v>
      </c>
      <c r="F46" s="509">
        <v>1798025</v>
      </c>
      <c r="G46" s="509">
        <v>1792715</v>
      </c>
      <c r="K46" s="118">
        <f t="shared" si="0"/>
        <v>5310</v>
      </c>
    </row>
    <row r="47" spans="1:11" ht="12.75">
      <c r="A47" s="508" t="s">
        <v>800</v>
      </c>
      <c r="B47" s="508" t="s">
        <v>801</v>
      </c>
      <c r="C47" s="509">
        <v>452323.14</v>
      </c>
      <c r="D47" s="509">
        <v>414728.58</v>
      </c>
      <c r="E47" s="509">
        <v>414728.58</v>
      </c>
      <c r="F47" s="509">
        <v>414728.58</v>
      </c>
      <c r="G47" s="509">
        <v>414728.58</v>
      </c>
      <c r="H47" s="512">
        <f>E47+E48</f>
        <v>490890.2</v>
      </c>
      <c r="I47" s="513" t="s">
        <v>876</v>
      </c>
      <c r="J47" s="513"/>
      <c r="K47" s="118">
        <f t="shared" si="0"/>
        <v>0</v>
      </c>
    </row>
    <row r="48" spans="1:11" ht="12.75">
      <c r="A48" s="508" t="s">
        <v>802</v>
      </c>
      <c r="B48" s="508" t="s">
        <v>803</v>
      </c>
      <c r="C48" s="509">
        <v>1253269.42</v>
      </c>
      <c r="D48" s="509">
        <v>76161.62</v>
      </c>
      <c r="E48" s="509">
        <v>76161.62</v>
      </c>
      <c r="F48" s="509">
        <v>76161.62</v>
      </c>
      <c r="G48" s="509">
        <v>76161.62</v>
      </c>
      <c r="K48" s="118">
        <f t="shared" si="0"/>
        <v>0</v>
      </c>
    </row>
    <row r="49" spans="1:11" ht="12.75">
      <c r="A49" s="508" t="s">
        <v>804</v>
      </c>
      <c r="B49" s="508" t="s">
        <v>805</v>
      </c>
      <c r="C49" s="509">
        <v>1232.87</v>
      </c>
      <c r="D49" s="509">
        <v>1232.87</v>
      </c>
      <c r="E49" s="509">
        <v>1232.87</v>
      </c>
      <c r="F49" s="509">
        <v>1232.87</v>
      </c>
      <c r="G49" s="509">
        <v>1232.87</v>
      </c>
      <c r="H49" s="514">
        <f>E49</f>
        <v>1232.87</v>
      </c>
      <c r="I49" s="513" t="s">
        <v>685</v>
      </c>
      <c r="J49" s="513"/>
      <c r="K49" s="118">
        <f t="shared" si="0"/>
        <v>0</v>
      </c>
    </row>
    <row r="50" spans="1:11" ht="12.75">
      <c r="A50" s="508" t="s">
        <v>806</v>
      </c>
      <c r="B50" s="508" t="s">
        <v>807</v>
      </c>
      <c r="C50" s="509">
        <v>247626.01</v>
      </c>
      <c r="D50" s="509">
        <v>245126.01</v>
      </c>
      <c r="E50" s="509">
        <v>245126.01</v>
      </c>
      <c r="F50" s="509">
        <v>245126.01</v>
      </c>
      <c r="G50" s="509">
        <v>178338.01</v>
      </c>
      <c r="H50" s="512">
        <f>E50+E51+E52</f>
        <v>257771.93000000002</v>
      </c>
      <c r="I50" s="513" t="s">
        <v>877</v>
      </c>
      <c r="J50" s="513"/>
      <c r="K50" s="118">
        <f t="shared" si="0"/>
        <v>66788</v>
      </c>
    </row>
    <row r="51" spans="1:11" ht="12.75">
      <c r="A51" s="508" t="s">
        <v>808</v>
      </c>
      <c r="B51" s="508" t="s">
        <v>809</v>
      </c>
      <c r="C51" s="509">
        <v>3717</v>
      </c>
      <c r="D51" s="509">
        <v>3717</v>
      </c>
      <c r="E51" s="509">
        <v>3717</v>
      </c>
      <c r="F51" s="509">
        <v>3717</v>
      </c>
      <c r="G51" s="509">
        <v>0</v>
      </c>
      <c r="K51" s="118">
        <f t="shared" si="0"/>
        <v>3717</v>
      </c>
    </row>
    <row r="52" spans="1:11" ht="12.75">
      <c r="A52" s="508" t="s">
        <v>810</v>
      </c>
      <c r="B52" s="508" t="s">
        <v>811</v>
      </c>
      <c r="C52" s="509">
        <v>1377079.92</v>
      </c>
      <c r="D52" s="509">
        <v>8928.92</v>
      </c>
      <c r="E52" s="509">
        <v>8928.92</v>
      </c>
      <c r="F52" s="509">
        <v>8928.92</v>
      </c>
      <c r="G52" s="509">
        <v>8928.92</v>
      </c>
      <c r="K52" s="118">
        <f t="shared" si="0"/>
        <v>0</v>
      </c>
    </row>
    <row r="53" spans="1:11" ht="12.75">
      <c r="A53" s="508" t="s">
        <v>812</v>
      </c>
      <c r="B53" s="508" t="s">
        <v>813</v>
      </c>
      <c r="C53" s="509">
        <v>108660.01</v>
      </c>
      <c r="D53" s="509">
        <v>108494.98</v>
      </c>
      <c r="E53" s="509">
        <v>108494.98</v>
      </c>
      <c r="F53" s="509">
        <v>108494.98</v>
      </c>
      <c r="G53" s="509">
        <v>83124.98</v>
      </c>
      <c r="K53" s="118">
        <f t="shared" si="0"/>
        <v>25370</v>
      </c>
    </row>
    <row r="54" spans="1:11" ht="12.75">
      <c r="A54" s="508" t="s">
        <v>814</v>
      </c>
      <c r="B54" s="508" t="s">
        <v>815</v>
      </c>
      <c r="C54" s="509">
        <v>298599</v>
      </c>
      <c r="D54" s="509">
        <v>298599</v>
      </c>
      <c r="E54" s="509">
        <v>298599</v>
      </c>
      <c r="F54" s="509">
        <v>298599</v>
      </c>
      <c r="G54" s="509">
        <v>298599</v>
      </c>
      <c r="H54" s="512">
        <f>E53+E54</f>
        <v>407093.98</v>
      </c>
      <c r="I54" s="513" t="s">
        <v>878</v>
      </c>
      <c r="J54" s="513"/>
      <c r="K54" s="118">
        <f t="shared" si="0"/>
        <v>0</v>
      </c>
    </row>
    <row r="55" spans="1:11" ht="12.75">
      <c r="A55" s="508" t="s">
        <v>816</v>
      </c>
      <c r="B55" s="508" t="s">
        <v>817</v>
      </c>
      <c r="C55" s="509">
        <v>4344000</v>
      </c>
      <c r="D55" s="509">
        <v>4344000</v>
      </c>
      <c r="E55" s="509">
        <v>4304000</v>
      </c>
      <c r="F55" s="509">
        <v>4304000</v>
      </c>
      <c r="G55" s="509">
        <v>3635000</v>
      </c>
      <c r="H55" s="512">
        <f>E55+E56+E57+E58</f>
        <v>4363083.68</v>
      </c>
      <c r="I55" s="513" t="s">
        <v>879</v>
      </c>
      <c r="J55" s="513"/>
      <c r="K55" s="118">
        <f t="shared" si="0"/>
        <v>669000</v>
      </c>
    </row>
    <row r="56" spans="1:11" ht="12.75">
      <c r="A56" s="508" t="s">
        <v>818</v>
      </c>
      <c r="B56" s="508" t="s">
        <v>819</v>
      </c>
      <c r="C56" s="509">
        <v>2800</v>
      </c>
      <c r="D56" s="509">
        <v>300</v>
      </c>
      <c r="E56" s="509">
        <v>300</v>
      </c>
      <c r="F56" s="509">
        <v>300</v>
      </c>
      <c r="G56" s="509">
        <v>300</v>
      </c>
      <c r="K56" s="118">
        <f t="shared" si="0"/>
        <v>0</v>
      </c>
    </row>
    <row r="57" spans="1:11" ht="12.75">
      <c r="A57" s="508" t="s">
        <v>820</v>
      </c>
      <c r="B57" s="508" t="s">
        <v>821</v>
      </c>
      <c r="C57" s="509">
        <v>66360.26</v>
      </c>
      <c r="D57" s="509">
        <v>56182.68</v>
      </c>
      <c r="E57" s="509">
        <v>56182.68</v>
      </c>
      <c r="F57" s="509">
        <v>56182.68</v>
      </c>
      <c r="G57" s="509">
        <v>56182.68</v>
      </c>
      <c r="K57" s="118">
        <f t="shared" si="0"/>
        <v>0</v>
      </c>
    </row>
    <row r="58" spans="1:11" ht="12.75">
      <c r="A58" s="508" t="s">
        <v>822</v>
      </c>
      <c r="B58" s="508" t="s">
        <v>823</v>
      </c>
      <c r="C58" s="509">
        <v>3101</v>
      </c>
      <c r="D58" s="509">
        <v>2601</v>
      </c>
      <c r="E58" s="509">
        <v>2601</v>
      </c>
      <c r="F58" s="509">
        <v>2601</v>
      </c>
      <c r="G58" s="509">
        <v>2601</v>
      </c>
      <c r="K58" s="118">
        <f t="shared" si="0"/>
        <v>0</v>
      </c>
    </row>
    <row r="59" spans="1:11" ht="12.75">
      <c r="A59" s="508" t="s">
        <v>824</v>
      </c>
      <c r="B59" s="508" t="s">
        <v>825</v>
      </c>
      <c r="C59" s="509">
        <v>354733</v>
      </c>
      <c r="D59" s="509">
        <v>0</v>
      </c>
      <c r="E59" s="509">
        <v>0</v>
      </c>
      <c r="F59" s="509">
        <v>0</v>
      </c>
      <c r="G59" s="509">
        <v>0</v>
      </c>
      <c r="H59" s="512">
        <f>E60+E61+E62+E63+E64+E65</f>
        <v>1858251.2399999998</v>
      </c>
      <c r="I59" s="513" t="s">
        <v>880</v>
      </c>
      <c r="J59" s="513"/>
      <c r="K59" s="118">
        <f t="shared" si="0"/>
        <v>0</v>
      </c>
    </row>
    <row r="60" spans="1:11" ht="12.75">
      <c r="A60" s="508" t="s">
        <v>826</v>
      </c>
      <c r="B60" s="508" t="s">
        <v>827</v>
      </c>
      <c r="C60" s="509">
        <v>1447931.33</v>
      </c>
      <c r="D60" s="509">
        <v>1273365.08</v>
      </c>
      <c r="E60" s="509">
        <v>965385.08</v>
      </c>
      <c r="F60" s="509">
        <v>965385.08</v>
      </c>
      <c r="G60" s="509">
        <v>198127.84</v>
      </c>
      <c r="K60" s="118">
        <f t="shared" si="0"/>
        <v>767257.24</v>
      </c>
    </row>
    <row r="61" spans="1:11" ht="12.75">
      <c r="A61" s="508" t="s">
        <v>828</v>
      </c>
      <c r="B61" s="508" t="s">
        <v>829</v>
      </c>
      <c r="C61" s="509">
        <v>0</v>
      </c>
      <c r="D61" s="509">
        <v>0</v>
      </c>
      <c r="E61" s="509">
        <v>0</v>
      </c>
      <c r="F61" s="509">
        <v>0</v>
      </c>
      <c r="G61" s="509">
        <v>0</v>
      </c>
      <c r="K61" s="118">
        <f t="shared" si="0"/>
        <v>0</v>
      </c>
    </row>
    <row r="62" spans="1:11" ht="12.75">
      <c r="A62" s="508" t="s">
        <v>830</v>
      </c>
      <c r="B62" s="508" t="s">
        <v>831</v>
      </c>
      <c r="C62" s="509">
        <v>859.95</v>
      </c>
      <c r="D62" s="509">
        <v>859.95</v>
      </c>
      <c r="E62" s="509">
        <v>859.95</v>
      </c>
      <c r="F62" s="509">
        <v>859.95</v>
      </c>
      <c r="G62" s="509">
        <v>859.95</v>
      </c>
      <c r="K62" s="118">
        <f t="shared" si="0"/>
        <v>0</v>
      </c>
    </row>
    <row r="63" spans="1:11" ht="12.75">
      <c r="A63" s="508" t="s">
        <v>832</v>
      </c>
      <c r="B63" s="508" t="s">
        <v>833</v>
      </c>
      <c r="C63" s="509">
        <v>218892.01</v>
      </c>
      <c r="D63" s="509">
        <v>209900.09</v>
      </c>
      <c r="E63" s="509">
        <v>195300.08</v>
      </c>
      <c r="F63" s="509">
        <v>195300.08</v>
      </c>
      <c r="G63" s="509">
        <v>169500.08</v>
      </c>
      <c r="K63" s="118">
        <f t="shared" si="0"/>
        <v>25800</v>
      </c>
    </row>
    <row r="64" spans="1:11" ht="12.75">
      <c r="A64" s="508" t="s">
        <v>834</v>
      </c>
      <c r="B64" s="508" t="s">
        <v>835</v>
      </c>
      <c r="C64" s="509">
        <v>91761.65</v>
      </c>
      <c r="D64" s="509">
        <v>88761.65</v>
      </c>
      <c r="E64" s="509">
        <v>88761.65</v>
      </c>
      <c r="F64" s="509">
        <v>76255.45</v>
      </c>
      <c r="G64" s="509">
        <v>76255.45</v>
      </c>
      <c r="K64" s="118">
        <f t="shared" si="0"/>
        <v>12506.199999999997</v>
      </c>
    </row>
    <row r="65" spans="1:11" ht="12.75">
      <c r="A65" s="508" t="s">
        <v>836</v>
      </c>
      <c r="B65" s="508" t="s">
        <v>837</v>
      </c>
      <c r="C65" s="509">
        <v>768944.48</v>
      </c>
      <c r="D65" s="509">
        <v>607944.48</v>
      </c>
      <c r="E65" s="509">
        <v>607944.48</v>
      </c>
      <c r="F65" s="509">
        <v>607944.48</v>
      </c>
      <c r="G65" s="509">
        <v>607944.48</v>
      </c>
      <c r="K65" s="118">
        <f t="shared" si="0"/>
        <v>0</v>
      </c>
    </row>
    <row r="66" spans="1:11" ht="12.75">
      <c r="A66" s="508" t="s">
        <v>838</v>
      </c>
      <c r="B66" s="508" t="s">
        <v>839</v>
      </c>
      <c r="C66" s="509">
        <v>8000000</v>
      </c>
      <c r="D66" s="509">
        <v>8000000</v>
      </c>
      <c r="E66" s="509">
        <v>8000000</v>
      </c>
      <c r="F66" s="509">
        <v>8000000</v>
      </c>
      <c r="G66" s="509">
        <v>8000000</v>
      </c>
      <c r="H66" s="509">
        <f>E66+E67</f>
        <v>9300000</v>
      </c>
      <c r="K66" s="118">
        <f t="shared" si="0"/>
        <v>0</v>
      </c>
    </row>
    <row r="67" spans="1:11" ht="12.75">
      <c r="A67" s="508" t="s">
        <v>840</v>
      </c>
      <c r="B67" s="508" t="s">
        <v>841</v>
      </c>
      <c r="C67" s="509">
        <v>1300000</v>
      </c>
      <c r="D67" s="509">
        <v>1300000</v>
      </c>
      <c r="E67" s="509">
        <v>1300000</v>
      </c>
      <c r="F67" s="509">
        <v>1300000</v>
      </c>
      <c r="G67" s="509">
        <v>1300000</v>
      </c>
      <c r="K67" s="118">
        <f aca="true" t="shared" si="1" ref="K67:K79">E67-G67</f>
        <v>0</v>
      </c>
    </row>
    <row r="68" spans="1:11" ht="12.75">
      <c r="A68" s="508" t="s">
        <v>842</v>
      </c>
      <c r="B68" s="508" t="s">
        <v>843</v>
      </c>
      <c r="C68" s="509">
        <v>19220000.04</v>
      </c>
      <c r="D68" s="509">
        <v>19220000.04</v>
      </c>
      <c r="E68" s="509">
        <v>19220000.04</v>
      </c>
      <c r="F68" s="509">
        <v>19220000.04</v>
      </c>
      <c r="G68" s="509">
        <v>19220000.04</v>
      </c>
      <c r="K68" s="118">
        <f t="shared" si="1"/>
        <v>0</v>
      </c>
    </row>
    <row r="69" spans="1:11" ht="12.75">
      <c r="A69" s="508" t="s">
        <v>844</v>
      </c>
      <c r="B69" s="508" t="s">
        <v>845</v>
      </c>
      <c r="C69" s="509">
        <v>739500</v>
      </c>
      <c r="D69" s="509">
        <v>739500</v>
      </c>
      <c r="E69" s="509">
        <v>739500</v>
      </c>
      <c r="F69" s="509">
        <v>739500</v>
      </c>
      <c r="G69" s="509">
        <v>739500</v>
      </c>
      <c r="K69" s="118">
        <f t="shared" si="1"/>
        <v>0</v>
      </c>
    </row>
    <row r="70" spans="1:11" ht="12.75">
      <c r="A70" s="508" t="s">
        <v>846</v>
      </c>
      <c r="B70" s="508" t="s">
        <v>847</v>
      </c>
      <c r="C70" s="509">
        <v>25694218</v>
      </c>
      <c r="D70" s="509">
        <v>25694218</v>
      </c>
      <c r="E70" s="509">
        <v>25694218</v>
      </c>
      <c r="F70" s="509">
        <v>25694218</v>
      </c>
      <c r="G70" s="509">
        <v>25694218</v>
      </c>
      <c r="K70" s="118">
        <f t="shared" si="1"/>
        <v>0</v>
      </c>
    </row>
    <row r="71" spans="1:11" ht="12.75">
      <c r="A71" s="508" t="s">
        <v>848</v>
      </c>
      <c r="B71" s="508" t="s">
        <v>849</v>
      </c>
      <c r="C71" s="509">
        <v>94587.21</v>
      </c>
      <c r="D71" s="509">
        <v>94587.21</v>
      </c>
      <c r="E71" s="509">
        <v>94587.21</v>
      </c>
      <c r="F71" s="509">
        <v>94587.21</v>
      </c>
      <c r="G71" s="509">
        <v>94587.21</v>
      </c>
      <c r="H71" s="118">
        <f>E71+E72+E73+E74+E77+E78+E79</f>
        <v>3433888.25</v>
      </c>
      <c r="K71" s="118">
        <f t="shared" si="1"/>
        <v>0</v>
      </c>
    </row>
    <row r="72" spans="1:11" ht="12.75">
      <c r="A72" s="508" t="s">
        <v>850</v>
      </c>
      <c r="B72" s="508" t="s">
        <v>851</v>
      </c>
      <c r="C72" s="509">
        <v>4128506</v>
      </c>
      <c r="D72" s="509">
        <v>2542392.81</v>
      </c>
      <c r="E72" s="509">
        <v>895584.81</v>
      </c>
      <c r="F72" s="509">
        <v>895584.81</v>
      </c>
      <c r="G72" s="509">
        <v>12744</v>
      </c>
      <c r="H72" s="118">
        <f>H71-E73</f>
        <v>1443378.35</v>
      </c>
      <c r="K72" s="118">
        <f t="shared" si="1"/>
        <v>882840.81</v>
      </c>
    </row>
    <row r="73" spans="1:11" ht="12.75">
      <c r="A73" s="508" t="s">
        <v>852</v>
      </c>
      <c r="B73" s="508" t="s">
        <v>853</v>
      </c>
      <c r="C73" s="509">
        <v>1990510</v>
      </c>
      <c r="D73" s="509">
        <v>1990510</v>
      </c>
      <c r="E73" s="509">
        <v>1990509.9</v>
      </c>
      <c r="F73" s="509">
        <v>1990509.9</v>
      </c>
      <c r="G73" s="509">
        <v>960490</v>
      </c>
      <c r="K73" s="118">
        <f t="shared" si="1"/>
        <v>1030019.8999999999</v>
      </c>
    </row>
    <row r="74" spans="1:11" ht="12.75">
      <c r="A74" s="508" t="s">
        <v>854</v>
      </c>
      <c r="B74" s="508" t="s">
        <v>855</v>
      </c>
      <c r="C74" s="509">
        <v>118404.93</v>
      </c>
      <c r="D74" s="509">
        <v>118404.93</v>
      </c>
      <c r="E74" s="509">
        <v>118404.93</v>
      </c>
      <c r="F74" s="509">
        <v>118404.93</v>
      </c>
      <c r="G74" s="509">
        <v>118404.93</v>
      </c>
      <c r="K74" s="118">
        <f t="shared" si="1"/>
        <v>0</v>
      </c>
    </row>
    <row r="75" spans="1:11" ht="12.75">
      <c r="A75" s="508" t="s">
        <v>856</v>
      </c>
      <c r="B75" s="508" t="s">
        <v>857</v>
      </c>
      <c r="C75" s="509">
        <v>340000</v>
      </c>
      <c r="D75" s="509">
        <v>0</v>
      </c>
      <c r="E75" s="509">
        <v>0</v>
      </c>
      <c r="F75" s="509">
        <v>0</v>
      </c>
      <c r="G75" s="509">
        <v>0</v>
      </c>
      <c r="K75" s="118">
        <f t="shared" si="1"/>
        <v>0</v>
      </c>
    </row>
    <row r="76" spans="1:11" ht="12.75">
      <c r="A76" s="508" t="s">
        <v>858</v>
      </c>
      <c r="B76" s="508" t="s">
        <v>859</v>
      </c>
      <c r="C76" s="509">
        <v>11412088</v>
      </c>
      <c r="D76" s="509">
        <v>0</v>
      </c>
      <c r="E76" s="509">
        <v>0</v>
      </c>
      <c r="F76" s="509">
        <v>0</v>
      </c>
      <c r="G76" s="509">
        <v>0</v>
      </c>
      <c r="K76" s="118">
        <f t="shared" si="1"/>
        <v>0</v>
      </c>
    </row>
    <row r="77" spans="1:11" ht="12.75">
      <c r="A77" s="508" t="s">
        <v>860</v>
      </c>
      <c r="B77" s="508" t="s">
        <v>861</v>
      </c>
      <c r="C77" s="509">
        <v>74281</v>
      </c>
      <c r="D77" s="509">
        <v>74281</v>
      </c>
      <c r="E77" s="509">
        <v>74281</v>
      </c>
      <c r="F77" s="509">
        <v>74281</v>
      </c>
      <c r="G77" s="509">
        <v>74281</v>
      </c>
      <c r="K77" s="118">
        <f t="shared" si="1"/>
        <v>0</v>
      </c>
    </row>
    <row r="78" spans="1:11" ht="12.75">
      <c r="A78" s="508" t="s">
        <v>862</v>
      </c>
      <c r="B78" s="508" t="s">
        <v>863</v>
      </c>
      <c r="C78" s="509">
        <v>61360</v>
      </c>
      <c r="D78" s="509">
        <v>61360</v>
      </c>
      <c r="E78" s="509">
        <v>61360</v>
      </c>
      <c r="F78" s="509">
        <v>61360</v>
      </c>
      <c r="G78" s="509">
        <v>0</v>
      </c>
      <c r="K78" s="118">
        <f t="shared" si="1"/>
        <v>61360</v>
      </c>
    </row>
    <row r="79" spans="1:11" ht="13.5" thickBot="1">
      <c r="A79" s="508" t="s">
        <v>864</v>
      </c>
      <c r="B79" s="508" t="s">
        <v>865</v>
      </c>
      <c r="C79" s="510">
        <v>250000</v>
      </c>
      <c r="D79" s="510">
        <v>199160.4</v>
      </c>
      <c r="E79" s="510">
        <v>199160.4</v>
      </c>
      <c r="F79" s="510">
        <v>199160.4</v>
      </c>
      <c r="G79" s="510">
        <v>199160.4</v>
      </c>
      <c r="K79" s="118">
        <f t="shared" si="1"/>
        <v>0</v>
      </c>
    </row>
    <row r="80" spans="3:11" ht="13.5" thickBot="1">
      <c r="C80" s="511">
        <f>SUM(C2:C79)</f>
        <v>279617118.56999993</v>
      </c>
      <c r="D80" s="511">
        <f>SUM(D2:D79)</f>
        <v>253667015.82999995</v>
      </c>
      <c r="E80" s="511">
        <f>SUM(E2:E79)</f>
        <v>248465513.08999997</v>
      </c>
      <c r="F80" s="511">
        <f>SUM(F2:F79)</f>
        <v>248071867.18999997</v>
      </c>
      <c r="G80" s="511">
        <f>SUM(G2:G79)</f>
        <v>239488349.71999994</v>
      </c>
      <c r="K80" s="118">
        <f>SUM(K2:K79)</f>
        <v>8977163.370000001</v>
      </c>
    </row>
  </sheetData>
  <sheetProtection/>
  <printOptions/>
  <pageMargins left="0.15748031496062992" right="0.15748031496062992" top="0.7480314960629921" bottom="0.2755905511811024" header="0.31496062992125984" footer="0.31496062992125984"/>
  <pageSetup orientation="landscape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6">
      <selection activeCell="J36" sqref="J36"/>
    </sheetView>
  </sheetViews>
  <sheetFormatPr defaultColWidth="11.421875" defaultRowHeight="12.75"/>
  <cols>
    <col min="10" max="10" width="13.28125" style="0" customWidth="1"/>
    <col min="11" max="11" width="14.7109375" style="0" customWidth="1"/>
  </cols>
  <sheetData>
    <row r="1" spans="1:12" ht="15">
      <c r="A1" s="740" t="s">
        <v>415</v>
      </c>
      <c r="B1" s="741"/>
      <c r="C1" s="740">
        <v>10193</v>
      </c>
      <c r="D1" s="741"/>
      <c r="E1" s="306" t="s">
        <v>416</v>
      </c>
      <c r="F1" s="740" t="s">
        <v>417</v>
      </c>
      <c r="G1" s="741"/>
      <c r="H1" s="742" t="s">
        <v>418</v>
      </c>
      <c r="I1" s="741"/>
      <c r="J1" s="291">
        <v>1000</v>
      </c>
      <c r="K1" s="291">
        <v>0</v>
      </c>
      <c r="L1" s="306" t="s">
        <v>241</v>
      </c>
    </row>
    <row r="2" spans="1:12" ht="15">
      <c r="A2" s="740" t="s">
        <v>415</v>
      </c>
      <c r="B2" s="741"/>
      <c r="C2" s="740">
        <v>10194</v>
      </c>
      <c r="D2" s="741"/>
      <c r="E2" s="306" t="s">
        <v>419</v>
      </c>
      <c r="F2" s="740" t="s">
        <v>417</v>
      </c>
      <c r="G2" s="741"/>
      <c r="H2" s="742" t="s">
        <v>418</v>
      </c>
      <c r="I2" s="741"/>
      <c r="J2" s="291">
        <v>1000</v>
      </c>
      <c r="K2" s="291">
        <v>0</v>
      </c>
      <c r="L2" s="306" t="s">
        <v>241</v>
      </c>
    </row>
    <row r="3" spans="1:12" ht="15">
      <c r="A3" s="740" t="s">
        <v>415</v>
      </c>
      <c r="B3" s="741"/>
      <c r="C3" s="740">
        <v>10195</v>
      </c>
      <c r="D3" s="741"/>
      <c r="E3" s="306" t="s">
        <v>420</v>
      </c>
      <c r="F3" s="740" t="s">
        <v>417</v>
      </c>
      <c r="G3" s="741"/>
      <c r="H3" s="742" t="s">
        <v>418</v>
      </c>
      <c r="I3" s="741"/>
      <c r="J3" s="291">
        <v>1000</v>
      </c>
      <c r="K3" s="291">
        <v>0</v>
      </c>
      <c r="L3" s="306" t="s">
        <v>241</v>
      </c>
    </row>
    <row r="4" spans="1:12" ht="15">
      <c r="A4" s="740" t="s">
        <v>415</v>
      </c>
      <c r="B4" s="741"/>
      <c r="C4" s="740">
        <v>10196</v>
      </c>
      <c r="D4" s="741"/>
      <c r="E4" s="306" t="s">
        <v>340</v>
      </c>
      <c r="F4" s="740" t="s">
        <v>417</v>
      </c>
      <c r="G4" s="741"/>
      <c r="H4" s="742" t="s">
        <v>418</v>
      </c>
      <c r="I4" s="741"/>
      <c r="J4" s="291">
        <v>1000</v>
      </c>
      <c r="K4" s="291">
        <v>0</v>
      </c>
      <c r="L4" s="306" t="s">
        <v>241</v>
      </c>
    </row>
    <row r="5" spans="1:12" ht="15">
      <c r="A5" s="740" t="s">
        <v>415</v>
      </c>
      <c r="B5" s="741"/>
      <c r="C5" s="740">
        <v>10197</v>
      </c>
      <c r="D5" s="741"/>
      <c r="E5" s="306" t="s">
        <v>421</v>
      </c>
      <c r="F5" s="740" t="s">
        <v>417</v>
      </c>
      <c r="G5" s="741"/>
      <c r="H5" s="742" t="s">
        <v>418</v>
      </c>
      <c r="I5" s="741"/>
      <c r="J5" s="291">
        <v>1000</v>
      </c>
      <c r="K5" s="291">
        <v>0</v>
      </c>
      <c r="L5" s="306" t="s">
        <v>241</v>
      </c>
    </row>
    <row r="6" spans="1:12" ht="15">
      <c r="A6" s="740" t="s">
        <v>415</v>
      </c>
      <c r="B6" s="741"/>
      <c r="C6" s="740">
        <v>10198</v>
      </c>
      <c r="D6" s="741"/>
      <c r="E6" s="306" t="s">
        <v>422</v>
      </c>
      <c r="F6" s="740" t="s">
        <v>417</v>
      </c>
      <c r="G6" s="741"/>
      <c r="H6" s="742" t="s">
        <v>418</v>
      </c>
      <c r="I6" s="741"/>
      <c r="J6" s="291">
        <v>1400</v>
      </c>
      <c r="K6" s="291">
        <v>0</v>
      </c>
      <c r="L6" s="306" t="s">
        <v>241</v>
      </c>
    </row>
    <row r="7" spans="1:12" ht="15">
      <c r="A7" s="740" t="s">
        <v>415</v>
      </c>
      <c r="B7" s="741"/>
      <c r="C7" s="740">
        <v>10199</v>
      </c>
      <c r="D7" s="741"/>
      <c r="E7" s="306" t="s">
        <v>423</v>
      </c>
      <c r="F7" s="740" t="s">
        <v>417</v>
      </c>
      <c r="G7" s="741"/>
      <c r="H7" s="742" t="s">
        <v>418</v>
      </c>
      <c r="I7" s="741"/>
      <c r="J7" s="291">
        <v>1400</v>
      </c>
      <c r="K7" s="291">
        <v>0</v>
      </c>
      <c r="L7" s="306" t="s">
        <v>241</v>
      </c>
    </row>
    <row r="8" spans="1:12" ht="15">
      <c r="A8" s="740" t="s">
        <v>415</v>
      </c>
      <c r="B8" s="741"/>
      <c r="C8" s="740">
        <v>10200</v>
      </c>
      <c r="D8" s="741"/>
      <c r="E8" s="306" t="s">
        <v>424</v>
      </c>
      <c r="F8" s="740" t="s">
        <v>417</v>
      </c>
      <c r="G8" s="741"/>
      <c r="H8" s="742" t="s">
        <v>418</v>
      </c>
      <c r="I8" s="741"/>
      <c r="J8" s="291">
        <v>1400</v>
      </c>
      <c r="K8" s="291">
        <v>0</v>
      </c>
      <c r="L8" s="306" t="s">
        <v>241</v>
      </c>
    </row>
    <row r="9" spans="1:12" ht="15">
      <c r="A9" s="740" t="s">
        <v>415</v>
      </c>
      <c r="B9" s="741"/>
      <c r="C9" s="740">
        <v>10201</v>
      </c>
      <c r="D9" s="741"/>
      <c r="E9" s="306" t="s">
        <v>425</v>
      </c>
      <c r="F9" s="740" t="s">
        <v>417</v>
      </c>
      <c r="G9" s="741"/>
      <c r="H9" s="742" t="s">
        <v>418</v>
      </c>
      <c r="I9" s="741"/>
      <c r="J9" s="291">
        <v>1400</v>
      </c>
      <c r="K9" s="291">
        <v>0</v>
      </c>
      <c r="L9" s="306" t="s">
        <v>241</v>
      </c>
    </row>
    <row r="10" spans="1:12" ht="15">
      <c r="A10" s="740" t="s">
        <v>415</v>
      </c>
      <c r="B10" s="741"/>
      <c r="C10" s="740">
        <v>10202</v>
      </c>
      <c r="D10" s="741"/>
      <c r="E10" s="306" t="s">
        <v>426</v>
      </c>
      <c r="F10" s="740" t="s">
        <v>417</v>
      </c>
      <c r="G10" s="741"/>
      <c r="H10" s="742" t="s">
        <v>418</v>
      </c>
      <c r="I10" s="741"/>
      <c r="J10" s="291">
        <v>1400</v>
      </c>
      <c r="K10" s="291">
        <v>0</v>
      </c>
      <c r="L10" s="306" t="s">
        <v>241</v>
      </c>
    </row>
    <row r="11" spans="1:12" ht="15">
      <c r="A11" s="740" t="s">
        <v>415</v>
      </c>
      <c r="B11" s="741"/>
      <c r="C11" s="740">
        <v>10203</v>
      </c>
      <c r="D11" s="741"/>
      <c r="E11" s="306" t="s">
        <v>346</v>
      </c>
      <c r="F11" s="740" t="s">
        <v>417</v>
      </c>
      <c r="G11" s="741"/>
      <c r="H11" s="742" t="s">
        <v>418</v>
      </c>
      <c r="I11" s="741"/>
      <c r="J11" s="291">
        <v>1400</v>
      </c>
      <c r="K11" s="291">
        <v>0</v>
      </c>
      <c r="L11" s="306" t="s">
        <v>241</v>
      </c>
    </row>
    <row r="12" spans="1:12" ht="15">
      <c r="A12" s="740" t="s">
        <v>415</v>
      </c>
      <c r="B12" s="741"/>
      <c r="C12" s="740">
        <v>10204</v>
      </c>
      <c r="D12" s="741"/>
      <c r="E12" s="306" t="s">
        <v>427</v>
      </c>
      <c r="F12" s="740" t="s">
        <v>417</v>
      </c>
      <c r="G12" s="741"/>
      <c r="H12" s="742" t="s">
        <v>418</v>
      </c>
      <c r="I12" s="741"/>
      <c r="J12" s="291">
        <v>1400</v>
      </c>
      <c r="K12" s="291">
        <v>0</v>
      </c>
      <c r="L12" s="306" t="s">
        <v>241</v>
      </c>
    </row>
    <row r="13" spans="1:12" ht="15">
      <c r="A13" s="740" t="s">
        <v>415</v>
      </c>
      <c r="B13" s="741"/>
      <c r="C13" s="740">
        <v>10205</v>
      </c>
      <c r="D13" s="741"/>
      <c r="E13" s="306" t="s">
        <v>428</v>
      </c>
      <c r="F13" s="740" t="s">
        <v>417</v>
      </c>
      <c r="G13" s="741"/>
      <c r="H13" s="742" t="s">
        <v>418</v>
      </c>
      <c r="I13" s="741"/>
      <c r="J13" s="291">
        <v>1400</v>
      </c>
      <c r="K13" s="291">
        <v>0</v>
      </c>
      <c r="L13" s="306" t="s">
        <v>241</v>
      </c>
    </row>
    <row r="14" spans="1:12" ht="15">
      <c r="A14" s="740" t="s">
        <v>415</v>
      </c>
      <c r="B14" s="741"/>
      <c r="C14" s="740">
        <v>10206</v>
      </c>
      <c r="D14" s="741"/>
      <c r="E14" s="306" t="s">
        <v>429</v>
      </c>
      <c r="F14" s="740" t="s">
        <v>417</v>
      </c>
      <c r="G14" s="741"/>
      <c r="H14" s="742" t="s">
        <v>418</v>
      </c>
      <c r="I14" s="741"/>
      <c r="J14" s="291">
        <v>1400</v>
      </c>
      <c r="K14" s="291">
        <v>0</v>
      </c>
      <c r="L14" s="306" t="s">
        <v>241</v>
      </c>
    </row>
    <row r="15" spans="1:12" ht="15">
      <c r="A15" s="740" t="s">
        <v>415</v>
      </c>
      <c r="B15" s="741"/>
      <c r="C15" s="740">
        <v>10207</v>
      </c>
      <c r="D15" s="741"/>
      <c r="E15" s="306" t="s">
        <v>430</v>
      </c>
      <c r="F15" s="740" t="s">
        <v>417</v>
      </c>
      <c r="G15" s="741"/>
      <c r="H15" s="742" t="s">
        <v>418</v>
      </c>
      <c r="I15" s="741"/>
      <c r="J15" s="291">
        <v>1400</v>
      </c>
      <c r="K15" s="291">
        <v>0</v>
      </c>
      <c r="L15" s="306" t="s">
        <v>241</v>
      </c>
    </row>
    <row r="16" spans="1:12" ht="15">
      <c r="A16" s="740" t="s">
        <v>415</v>
      </c>
      <c r="B16" s="741"/>
      <c r="C16" s="740">
        <v>10208</v>
      </c>
      <c r="D16" s="741"/>
      <c r="E16" s="306" t="s">
        <v>431</v>
      </c>
      <c r="F16" s="740" t="s">
        <v>417</v>
      </c>
      <c r="G16" s="741"/>
      <c r="H16" s="742" t="s">
        <v>418</v>
      </c>
      <c r="I16" s="741"/>
      <c r="J16" s="291">
        <v>1400</v>
      </c>
      <c r="K16" s="291">
        <v>0</v>
      </c>
      <c r="L16" s="306" t="s">
        <v>241</v>
      </c>
    </row>
    <row r="17" spans="1:12" ht="15">
      <c r="A17" s="740" t="s">
        <v>415</v>
      </c>
      <c r="B17" s="741"/>
      <c r="C17" s="740">
        <v>10209</v>
      </c>
      <c r="D17" s="741"/>
      <c r="E17" s="306" t="s">
        <v>432</v>
      </c>
      <c r="F17" s="740" t="s">
        <v>417</v>
      </c>
      <c r="G17" s="741"/>
      <c r="H17" s="742" t="s">
        <v>418</v>
      </c>
      <c r="I17" s="741"/>
      <c r="J17" s="291">
        <v>1400</v>
      </c>
      <c r="K17" s="291">
        <v>0</v>
      </c>
      <c r="L17" s="306" t="s">
        <v>241</v>
      </c>
    </row>
    <row r="18" spans="1:12" ht="15">
      <c r="A18" s="740" t="s">
        <v>415</v>
      </c>
      <c r="B18" s="741"/>
      <c r="C18" s="740">
        <v>10210</v>
      </c>
      <c r="D18" s="741"/>
      <c r="E18" s="306" t="s">
        <v>433</v>
      </c>
      <c r="F18" s="740" t="s">
        <v>417</v>
      </c>
      <c r="G18" s="741"/>
      <c r="H18" s="742" t="s">
        <v>418</v>
      </c>
      <c r="I18" s="741"/>
      <c r="J18" s="292">
        <v>1400</v>
      </c>
      <c r="K18" s="291">
        <v>0</v>
      </c>
      <c r="L18" s="306" t="s">
        <v>241</v>
      </c>
    </row>
    <row r="19" ht="12.75">
      <c r="J19" s="298">
        <f>SUM(J1:J18)</f>
        <v>23200</v>
      </c>
    </row>
    <row r="22" spans="1:12" ht="15">
      <c r="A22" s="740" t="s">
        <v>325</v>
      </c>
      <c r="B22" s="741"/>
      <c r="C22" s="740">
        <v>10065</v>
      </c>
      <c r="D22" s="741"/>
      <c r="E22" s="306" t="s">
        <v>326</v>
      </c>
      <c r="F22" s="740" t="s">
        <v>239</v>
      </c>
      <c r="G22" s="741"/>
      <c r="H22" s="742" t="s">
        <v>240</v>
      </c>
      <c r="I22" s="741"/>
      <c r="J22" s="291">
        <v>7080</v>
      </c>
      <c r="K22" s="291">
        <v>0</v>
      </c>
      <c r="L22" s="306" t="s">
        <v>241</v>
      </c>
    </row>
    <row r="23" spans="1:12" ht="15">
      <c r="A23" s="740" t="s">
        <v>325</v>
      </c>
      <c r="B23" s="741"/>
      <c r="C23" s="740">
        <v>10066</v>
      </c>
      <c r="D23" s="741"/>
      <c r="E23" s="306" t="s">
        <v>327</v>
      </c>
      <c r="F23" s="740" t="s">
        <v>239</v>
      </c>
      <c r="G23" s="741"/>
      <c r="H23" s="742" t="s">
        <v>240</v>
      </c>
      <c r="I23" s="741"/>
      <c r="J23" s="291">
        <v>4000</v>
      </c>
      <c r="K23" s="291">
        <v>0</v>
      </c>
      <c r="L23" s="306" t="s">
        <v>241</v>
      </c>
    </row>
    <row r="24" spans="1:12" ht="15">
      <c r="A24" s="740" t="s">
        <v>325</v>
      </c>
      <c r="B24" s="741"/>
      <c r="C24" s="740">
        <v>10067</v>
      </c>
      <c r="D24" s="741"/>
      <c r="E24" s="306" t="s">
        <v>328</v>
      </c>
      <c r="F24" s="740" t="s">
        <v>239</v>
      </c>
      <c r="G24" s="741"/>
      <c r="H24" s="742" t="s">
        <v>240</v>
      </c>
      <c r="I24" s="741"/>
      <c r="J24" s="291">
        <v>2500</v>
      </c>
      <c r="K24" s="291">
        <v>0</v>
      </c>
      <c r="L24" s="306" t="s">
        <v>241</v>
      </c>
    </row>
    <row r="25" spans="1:12" ht="15">
      <c r="A25" s="740" t="s">
        <v>325</v>
      </c>
      <c r="B25" s="741"/>
      <c r="C25" s="740">
        <v>10068</v>
      </c>
      <c r="D25" s="741"/>
      <c r="E25" s="306" t="s">
        <v>329</v>
      </c>
      <c r="F25" s="740" t="s">
        <v>239</v>
      </c>
      <c r="G25" s="741"/>
      <c r="H25" s="742" t="s">
        <v>240</v>
      </c>
      <c r="I25" s="741"/>
      <c r="J25" s="291">
        <v>2500</v>
      </c>
      <c r="K25" s="291">
        <v>0</v>
      </c>
      <c r="L25" s="306" t="s">
        <v>241</v>
      </c>
    </row>
    <row r="26" spans="1:12" ht="15">
      <c r="A26" s="740" t="s">
        <v>400</v>
      </c>
      <c r="B26" s="741"/>
      <c r="C26" s="740">
        <v>10250</v>
      </c>
      <c r="D26" s="741"/>
      <c r="E26" s="306" t="s">
        <v>239</v>
      </c>
      <c r="F26" s="740" t="s">
        <v>239</v>
      </c>
      <c r="G26" s="741"/>
      <c r="H26" s="742" t="s">
        <v>240</v>
      </c>
      <c r="I26" s="741"/>
      <c r="J26" s="291">
        <v>2400</v>
      </c>
      <c r="K26" s="291">
        <v>0</v>
      </c>
      <c r="L26" s="306" t="s">
        <v>241</v>
      </c>
    </row>
    <row r="27" spans="1:12" ht="15">
      <c r="A27" s="740" t="s">
        <v>400</v>
      </c>
      <c r="B27" s="741"/>
      <c r="C27" s="740">
        <v>10251</v>
      </c>
      <c r="D27" s="741"/>
      <c r="E27" s="306" t="s">
        <v>434</v>
      </c>
      <c r="F27" s="740" t="s">
        <v>239</v>
      </c>
      <c r="G27" s="741"/>
      <c r="H27" s="742" t="s">
        <v>240</v>
      </c>
      <c r="I27" s="741"/>
      <c r="J27" s="291">
        <v>1000</v>
      </c>
      <c r="K27" s="291">
        <v>0</v>
      </c>
      <c r="L27" s="306" t="s">
        <v>241</v>
      </c>
    </row>
    <row r="28" spans="1:12" ht="15">
      <c r="A28" s="740" t="s">
        <v>435</v>
      </c>
      <c r="B28" s="741"/>
      <c r="C28" s="740">
        <v>10252</v>
      </c>
      <c r="D28" s="741"/>
      <c r="E28" s="306" t="s">
        <v>436</v>
      </c>
      <c r="F28" s="740" t="s">
        <v>239</v>
      </c>
      <c r="G28" s="741"/>
      <c r="H28" s="742" t="s">
        <v>240</v>
      </c>
      <c r="I28" s="741"/>
      <c r="J28" s="291">
        <v>1800</v>
      </c>
      <c r="K28" s="291">
        <v>0</v>
      </c>
      <c r="L28" s="306" t="s">
        <v>241</v>
      </c>
    </row>
    <row r="29" spans="1:12" ht="15">
      <c r="A29" s="740" t="s">
        <v>435</v>
      </c>
      <c r="B29" s="741"/>
      <c r="C29" s="740">
        <v>10253</v>
      </c>
      <c r="D29" s="741"/>
      <c r="E29" s="306" t="s">
        <v>437</v>
      </c>
      <c r="F29" s="740" t="s">
        <v>239</v>
      </c>
      <c r="G29" s="741"/>
      <c r="H29" s="742" t="s">
        <v>240</v>
      </c>
      <c r="I29" s="741"/>
      <c r="J29" s="291">
        <v>1800</v>
      </c>
      <c r="K29" s="291">
        <v>0</v>
      </c>
      <c r="L29" s="306" t="s">
        <v>241</v>
      </c>
    </row>
    <row r="30" spans="1:12" ht="15">
      <c r="A30" s="740" t="s">
        <v>435</v>
      </c>
      <c r="B30" s="741"/>
      <c r="C30" s="740">
        <v>10254</v>
      </c>
      <c r="D30" s="741"/>
      <c r="E30" s="306" t="s">
        <v>438</v>
      </c>
      <c r="F30" s="740" t="s">
        <v>239</v>
      </c>
      <c r="G30" s="741"/>
      <c r="H30" s="742" t="s">
        <v>240</v>
      </c>
      <c r="I30" s="741"/>
      <c r="J30" s="292">
        <v>1500</v>
      </c>
      <c r="K30" s="291">
        <v>0</v>
      </c>
      <c r="L30" s="306" t="s">
        <v>241</v>
      </c>
    </row>
    <row r="31" ht="12.75">
      <c r="J31" s="298">
        <f>SUM(J22:J30)</f>
        <v>24580</v>
      </c>
    </row>
    <row r="33" spans="1:12" ht="15">
      <c r="A33" s="740" t="s">
        <v>330</v>
      </c>
      <c r="B33" s="741"/>
      <c r="C33" s="740">
        <v>10087</v>
      </c>
      <c r="D33" s="741"/>
      <c r="E33" s="306" t="s">
        <v>331</v>
      </c>
      <c r="F33" s="740" t="s">
        <v>332</v>
      </c>
      <c r="G33" s="741"/>
      <c r="H33" s="742" t="s">
        <v>333</v>
      </c>
      <c r="I33" s="741"/>
      <c r="J33" s="291">
        <v>0</v>
      </c>
      <c r="K33" s="291">
        <v>0</v>
      </c>
      <c r="L33" s="306" t="s">
        <v>316</v>
      </c>
    </row>
    <row r="36" spans="1:11" ht="15">
      <c r="A36" s="740" t="s">
        <v>435</v>
      </c>
      <c r="B36" s="741"/>
      <c r="C36" s="740">
        <v>10254</v>
      </c>
      <c r="D36" s="741"/>
      <c r="E36" s="306" t="s">
        <v>438</v>
      </c>
      <c r="F36" s="740" t="s">
        <v>258</v>
      </c>
      <c r="G36" s="741"/>
      <c r="H36" s="742" t="s">
        <v>259</v>
      </c>
      <c r="I36" s="741"/>
      <c r="J36" s="292">
        <v>60</v>
      </c>
      <c r="K36" s="291">
        <v>0</v>
      </c>
    </row>
    <row r="37" ht="12.75">
      <c r="J37" s="298">
        <f>SUM(J36)</f>
        <v>60</v>
      </c>
    </row>
    <row r="39" spans="1:12" ht="15">
      <c r="A39" s="740" t="s">
        <v>439</v>
      </c>
      <c r="B39" s="741"/>
      <c r="C39" s="740">
        <v>10172</v>
      </c>
      <c r="D39" s="741"/>
      <c r="E39" s="306" t="s">
        <v>440</v>
      </c>
      <c r="F39" s="740" t="s">
        <v>312</v>
      </c>
      <c r="G39" s="741"/>
      <c r="H39" s="742" t="s">
        <v>313</v>
      </c>
      <c r="I39" s="741"/>
      <c r="J39" s="291">
        <v>4161.25</v>
      </c>
      <c r="K39" s="291">
        <v>0</v>
      </c>
      <c r="L39" s="306" t="s">
        <v>241</v>
      </c>
    </row>
    <row r="40" spans="1:12" ht="15">
      <c r="A40" s="740" t="s">
        <v>441</v>
      </c>
      <c r="B40" s="741"/>
      <c r="C40" s="740">
        <v>10220</v>
      </c>
      <c r="D40" s="741"/>
      <c r="E40" s="306" t="s">
        <v>442</v>
      </c>
      <c r="F40" s="740" t="s">
        <v>312</v>
      </c>
      <c r="G40" s="741"/>
      <c r="H40" s="742" t="s">
        <v>313</v>
      </c>
      <c r="I40" s="741"/>
      <c r="J40" s="292">
        <v>1619.16</v>
      </c>
      <c r="K40" s="291">
        <v>0</v>
      </c>
      <c r="L40" s="306" t="s">
        <v>241</v>
      </c>
    </row>
    <row r="41" spans="1:12" ht="15">
      <c r="A41" s="325"/>
      <c r="B41" s="326"/>
      <c r="C41" s="325"/>
      <c r="D41" s="326"/>
      <c r="E41" s="325"/>
      <c r="F41" s="325"/>
      <c r="G41" s="326"/>
      <c r="H41" s="327"/>
      <c r="I41" s="326"/>
      <c r="J41" s="329">
        <f>SUM(J39:J40)</f>
        <v>5780.41</v>
      </c>
      <c r="K41" s="328"/>
      <c r="L41" s="325"/>
    </row>
    <row r="43" spans="1:12" ht="15">
      <c r="A43" s="740" t="s">
        <v>334</v>
      </c>
      <c r="B43" s="741"/>
      <c r="C43" s="740">
        <v>10090</v>
      </c>
      <c r="D43" s="741"/>
      <c r="E43" s="306" t="s">
        <v>335</v>
      </c>
      <c r="F43" s="740" t="s">
        <v>336</v>
      </c>
      <c r="G43" s="741"/>
      <c r="H43" s="742" t="s">
        <v>337</v>
      </c>
      <c r="I43" s="741"/>
      <c r="J43" s="292">
        <v>15000</v>
      </c>
      <c r="K43" s="291">
        <v>0</v>
      </c>
      <c r="L43" s="306" t="s">
        <v>241</v>
      </c>
    </row>
    <row r="44" ht="12.75">
      <c r="J44" s="298">
        <f>SUM(J43)</f>
        <v>15000</v>
      </c>
    </row>
  </sheetData>
  <sheetProtection/>
  <mergeCells count="128">
    <mergeCell ref="A1:B1"/>
    <mergeCell ref="C1:D1"/>
    <mergeCell ref="F1:G1"/>
    <mergeCell ref="H1:I1"/>
    <mergeCell ref="A2:B2"/>
    <mergeCell ref="C2:D2"/>
    <mergeCell ref="F2:G2"/>
    <mergeCell ref="H2:I2"/>
    <mergeCell ref="A3:B3"/>
    <mergeCell ref="C3:D3"/>
    <mergeCell ref="F3:G3"/>
    <mergeCell ref="H3:I3"/>
    <mergeCell ref="A4:B4"/>
    <mergeCell ref="C4:D4"/>
    <mergeCell ref="F4:G4"/>
    <mergeCell ref="H4:I4"/>
    <mergeCell ref="A5:B5"/>
    <mergeCell ref="C5:D5"/>
    <mergeCell ref="F5:G5"/>
    <mergeCell ref="H5:I5"/>
    <mergeCell ref="A6:B6"/>
    <mergeCell ref="C6:D6"/>
    <mergeCell ref="F6:G6"/>
    <mergeCell ref="H6:I6"/>
    <mergeCell ref="A7:B7"/>
    <mergeCell ref="C7:D7"/>
    <mergeCell ref="F7:G7"/>
    <mergeCell ref="H7:I7"/>
    <mergeCell ref="A8:B8"/>
    <mergeCell ref="C8:D8"/>
    <mergeCell ref="F8:G8"/>
    <mergeCell ref="H8:I8"/>
    <mergeCell ref="A9:B9"/>
    <mergeCell ref="C9:D9"/>
    <mergeCell ref="F9:G9"/>
    <mergeCell ref="H9:I9"/>
    <mergeCell ref="A10:B10"/>
    <mergeCell ref="C10:D10"/>
    <mergeCell ref="F10:G10"/>
    <mergeCell ref="H10:I10"/>
    <mergeCell ref="A11:B11"/>
    <mergeCell ref="C11:D11"/>
    <mergeCell ref="F11:G11"/>
    <mergeCell ref="H11:I11"/>
    <mergeCell ref="A12:B12"/>
    <mergeCell ref="C12:D12"/>
    <mergeCell ref="F12:G12"/>
    <mergeCell ref="H12:I12"/>
    <mergeCell ref="A13:B13"/>
    <mergeCell ref="C13:D13"/>
    <mergeCell ref="F13:G13"/>
    <mergeCell ref="H13:I13"/>
    <mergeCell ref="A14:B14"/>
    <mergeCell ref="C14:D14"/>
    <mergeCell ref="F14:G14"/>
    <mergeCell ref="H14:I14"/>
    <mergeCell ref="A15:B15"/>
    <mergeCell ref="C15:D15"/>
    <mergeCell ref="F15:G15"/>
    <mergeCell ref="H15:I15"/>
    <mergeCell ref="A16:B16"/>
    <mergeCell ref="C16:D16"/>
    <mergeCell ref="F16:G16"/>
    <mergeCell ref="H16:I16"/>
    <mergeCell ref="A17:B17"/>
    <mergeCell ref="C17:D17"/>
    <mergeCell ref="F17:G17"/>
    <mergeCell ref="H17:I17"/>
    <mergeCell ref="A18:B18"/>
    <mergeCell ref="C18:D18"/>
    <mergeCell ref="F18:G18"/>
    <mergeCell ref="H18:I18"/>
    <mergeCell ref="A22:B22"/>
    <mergeCell ref="C22:D22"/>
    <mergeCell ref="F22:G22"/>
    <mergeCell ref="H22:I22"/>
    <mergeCell ref="A23:B23"/>
    <mergeCell ref="C23:D23"/>
    <mergeCell ref="F23:G23"/>
    <mergeCell ref="H23:I23"/>
    <mergeCell ref="A24:B24"/>
    <mergeCell ref="C24:D24"/>
    <mergeCell ref="F24:G24"/>
    <mergeCell ref="H24:I24"/>
    <mergeCell ref="A25:B25"/>
    <mergeCell ref="C25:D25"/>
    <mergeCell ref="F25:G25"/>
    <mergeCell ref="H25:I25"/>
    <mergeCell ref="A26:B26"/>
    <mergeCell ref="C26:D26"/>
    <mergeCell ref="F26:G26"/>
    <mergeCell ref="H26:I26"/>
    <mergeCell ref="A27:B27"/>
    <mergeCell ref="C27:D27"/>
    <mergeCell ref="F27:G27"/>
    <mergeCell ref="H27:I27"/>
    <mergeCell ref="A28:B28"/>
    <mergeCell ref="C28:D28"/>
    <mergeCell ref="F28:G28"/>
    <mergeCell ref="H28:I28"/>
    <mergeCell ref="A29:B29"/>
    <mergeCell ref="C29:D29"/>
    <mergeCell ref="F29:G29"/>
    <mergeCell ref="H29:I29"/>
    <mergeCell ref="A30:B30"/>
    <mergeCell ref="C30:D30"/>
    <mergeCell ref="F30:G30"/>
    <mergeCell ref="H30:I30"/>
    <mergeCell ref="A33:B33"/>
    <mergeCell ref="C33:D33"/>
    <mergeCell ref="F33:G33"/>
    <mergeCell ref="H33:I33"/>
    <mergeCell ref="A36:B36"/>
    <mergeCell ref="C36:D36"/>
    <mergeCell ref="F36:G36"/>
    <mergeCell ref="H36:I36"/>
    <mergeCell ref="A39:B39"/>
    <mergeCell ref="C39:D39"/>
    <mergeCell ref="F39:G39"/>
    <mergeCell ref="H39:I39"/>
    <mergeCell ref="A43:B43"/>
    <mergeCell ref="C43:D43"/>
    <mergeCell ref="F43:G43"/>
    <mergeCell ref="H43:I43"/>
    <mergeCell ref="A40:B40"/>
    <mergeCell ref="C40:D40"/>
    <mergeCell ref="F40:G40"/>
    <mergeCell ref="H40:I4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1">
      <selection activeCell="E8" sqref="E8"/>
    </sheetView>
  </sheetViews>
  <sheetFormatPr defaultColWidth="11.421875" defaultRowHeight="12.75"/>
  <cols>
    <col min="1" max="1" width="41.8515625" style="0" customWidth="1"/>
    <col min="2" max="2" width="25.57421875" style="0" customWidth="1"/>
    <col min="3" max="3" width="22.8515625" style="0" customWidth="1"/>
    <col min="4" max="4" width="22.140625" style="0" customWidth="1"/>
    <col min="5" max="5" width="23.7109375" style="0" customWidth="1"/>
    <col min="6" max="6" width="21.57421875" style="0" customWidth="1"/>
    <col min="7" max="7" width="26.421875" style="0" customWidth="1"/>
    <col min="8" max="8" width="25.28125" style="0" customWidth="1"/>
    <col min="9" max="9" width="27.57421875" style="0" customWidth="1"/>
    <col min="10" max="10" width="17.140625" style="0" bestFit="1" customWidth="1"/>
  </cols>
  <sheetData>
    <row r="1" spans="1:9" ht="12.75">
      <c r="A1" s="349"/>
      <c r="B1" s="349"/>
      <c r="C1" s="349"/>
      <c r="D1" s="349"/>
      <c r="E1" s="349"/>
      <c r="F1" s="349"/>
      <c r="G1" s="349"/>
      <c r="H1" s="349"/>
      <c r="I1" s="349"/>
    </row>
    <row r="2" spans="1:9" ht="12.75">
      <c r="A2" s="361"/>
      <c r="B2" s="361"/>
      <c r="C2" s="349"/>
      <c r="D2" s="349"/>
      <c r="E2" s="349"/>
      <c r="F2" s="349"/>
      <c r="G2" s="349"/>
      <c r="H2" s="349"/>
      <c r="I2" s="349"/>
    </row>
    <row r="3" spans="1:9" ht="12.75">
      <c r="A3" s="361"/>
      <c r="B3" s="361"/>
      <c r="C3" s="349"/>
      <c r="D3" s="349"/>
      <c r="E3" s="349"/>
      <c r="F3" s="349"/>
      <c r="G3" s="349"/>
      <c r="H3" s="349"/>
      <c r="I3" s="349"/>
    </row>
    <row r="4" spans="1:9" ht="12.75">
      <c r="A4" s="361"/>
      <c r="B4" s="361"/>
      <c r="C4" s="349"/>
      <c r="D4" s="349"/>
      <c r="E4" s="349"/>
      <c r="F4" s="349"/>
      <c r="G4" s="349"/>
      <c r="H4" s="349"/>
      <c r="I4" s="349"/>
    </row>
    <row r="5" spans="1:9" ht="12.75">
      <c r="A5" s="361"/>
      <c r="B5" s="361"/>
      <c r="C5" s="349"/>
      <c r="D5" s="349"/>
      <c r="E5" s="349"/>
      <c r="F5" s="349"/>
      <c r="G5" s="349"/>
      <c r="H5" s="349"/>
      <c r="I5" s="349"/>
    </row>
    <row r="6" spans="1:9" ht="12.75">
      <c r="A6" s="361"/>
      <c r="B6" s="361"/>
      <c r="C6" s="349"/>
      <c r="D6" s="349"/>
      <c r="E6" s="349"/>
      <c r="F6" s="349"/>
      <c r="G6" s="349"/>
      <c r="H6" s="349"/>
      <c r="I6" s="349"/>
    </row>
    <row r="7" spans="1:9" ht="12.75">
      <c r="A7" s="361"/>
      <c r="B7" s="361"/>
      <c r="C7" s="349"/>
      <c r="D7" s="349"/>
      <c r="E7" s="349"/>
      <c r="F7" s="349"/>
      <c r="G7" s="349"/>
      <c r="H7" s="349"/>
      <c r="I7" s="349"/>
    </row>
    <row r="8" spans="1:9" ht="12.75">
      <c r="A8" s="361"/>
      <c r="B8" s="361"/>
      <c r="C8" s="349"/>
      <c r="D8" s="349"/>
      <c r="E8" s="349"/>
      <c r="F8" s="349"/>
      <c r="G8" s="349"/>
      <c r="H8" s="349"/>
      <c r="I8" s="349"/>
    </row>
    <row r="9" spans="1:9" ht="13.5">
      <c r="A9" s="716" t="s">
        <v>115</v>
      </c>
      <c r="B9" s="716"/>
      <c r="C9" s="716"/>
      <c r="D9" s="716"/>
      <c r="E9" s="716"/>
      <c r="F9" s="716"/>
      <c r="G9" s="349"/>
      <c r="H9" s="349"/>
      <c r="I9" s="349"/>
    </row>
    <row r="10" spans="1:9" ht="12.75">
      <c r="A10" s="717" t="s">
        <v>913</v>
      </c>
      <c r="B10" s="717"/>
      <c r="C10" s="717"/>
      <c r="D10" s="717"/>
      <c r="E10" s="717"/>
      <c r="F10" s="717"/>
      <c r="G10" s="349"/>
      <c r="H10" s="349"/>
      <c r="I10" s="349"/>
    </row>
    <row r="11" spans="1:9" ht="12.75">
      <c r="A11" s="718" t="s">
        <v>1</v>
      </c>
      <c r="B11" s="718"/>
      <c r="C11" s="718"/>
      <c r="D11" s="718"/>
      <c r="E11" s="718"/>
      <c r="F11" s="718"/>
      <c r="G11" s="349"/>
      <c r="H11" s="349"/>
      <c r="I11" s="349"/>
    </row>
    <row r="12" spans="1:9" ht="12.75">
      <c r="A12" s="717" t="s">
        <v>934</v>
      </c>
      <c r="B12" s="717"/>
      <c r="C12" s="717"/>
      <c r="D12" s="717"/>
      <c r="E12" s="717"/>
      <c r="F12" s="717"/>
      <c r="G12" s="349"/>
      <c r="H12" s="349"/>
      <c r="I12" s="349"/>
    </row>
    <row r="13" spans="1:9" ht="13.5" thickBot="1">
      <c r="A13" s="719" t="s">
        <v>2</v>
      </c>
      <c r="B13" s="719"/>
      <c r="C13" s="719"/>
      <c r="D13" s="719"/>
      <c r="E13" s="719"/>
      <c r="F13" s="719"/>
      <c r="G13" s="349"/>
      <c r="H13" s="349"/>
      <c r="I13" s="349"/>
    </row>
    <row r="14" spans="1:9" ht="12.75">
      <c r="A14" s="362"/>
      <c r="B14" s="363"/>
      <c r="C14" s="364" t="s">
        <v>231</v>
      </c>
      <c r="D14" s="302" t="s">
        <v>231</v>
      </c>
      <c r="E14" s="302" t="s">
        <v>323</v>
      </c>
      <c r="F14" s="319"/>
      <c r="G14" s="350"/>
      <c r="H14" s="321" t="s">
        <v>398</v>
      </c>
      <c r="I14" s="321" t="s">
        <v>399</v>
      </c>
    </row>
    <row r="15" spans="1:9" ht="26.25" thickBot="1">
      <c r="A15" s="365"/>
      <c r="B15" s="264" t="s">
        <v>191</v>
      </c>
      <c r="C15" s="366" t="s">
        <v>232</v>
      </c>
      <c r="D15" s="367" t="s">
        <v>233</v>
      </c>
      <c r="E15" s="303" t="s">
        <v>324</v>
      </c>
      <c r="F15" s="320" t="s">
        <v>338</v>
      </c>
      <c r="G15" s="352" t="s">
        <v>120</v>
      </c>
      <c r="H15" s="350"/>
      <c r="I15" s="350"/>
    </row>
    <row r="16" spans="1:9" ht="12.75">
      <c r="A16" s="350"/>
      <c r="B16" s="284" t="s">
        <v>192</v>
      </c>
      <c r="C16" s="448" t="s">
        <v>192</v>
      </c>
      <c r="D16" s="323" t="s">
        <v>192</v>
      </c>
      <c r="E16" s="368"/>
      <c r="F16" s="369"/>
      <c r="G16" s="350"/>
      <c r="H16" s="350"/>
      <c r="I16" s="350"/>
    </row>
    <row r="17" spans="1:9" ht="12.75">
      <c r="A17" s="368"/>
      <c r="B17" s="368"/>
      <c r="C17" s="369"/>
      <c r="D17" s="369"/>
      <c r="E17" s="369"/>
      <c r="F17" s="369"/>
      <c r="G17" s="350"/>
      <c r="H17" s="350"/>
      <c r="I17" s="350"/>
    </row>
    <row r="18" spans="1:9" ht="12.75">
      <c r="A18" s="115"/>
      <c r="B18" s="349"/>
      <c r="C18" s="369"/>
      <c r="D18" s="369"/>
      <c r="E18" s="369"/>
      <c r="F18" s="369"/>
      <c r="G18" s="350"/>
      <c r="H18" s="350"/>
      <c r="I18" s="350"/>
    </row>
    <row r="19" spans="1:9" ht="12.75">
      <c r="A19" s="370" t="s">
        <v>11</v>
      </c>
      <c r="B19" s="332"/>
      <c r="C19" s="369"/>
      <c r="D19" s="369"/>
      <c r="E19" s="369"/>
      <c r="F19" s="369"/>
      <c r="G19" s="419"/>
      <c r="H19" s="350"/>
      <c r="I19" s="350"/>
    </row>
    <row r="20" spans="1:9" ht="12.75">
      <c r="A20" s="370" t="s">
        <v>49</v>
      </c>
      <c r="B20" s="371">
        <f>SUM(B21:B33)</f>
        <v>221713909.07</v>
      </c>
      <c r="C20" s="369"/>
      <c r="D20" s="369"/>
      <c r="E20" s="371">
        <f>SUM(E21:E33)</f>
        <v>0</v>
      </c>
      <c r="F20" s="371">
        <f>SUM(F21:F33)</f>
        <v>0</v>
      </c>
      <c r="G20" s="10">
        <f>B20+F20</f>
        <v>221713909.07</v>
      </c>
      <c r="H20" s="350"/>
      <c r="I20" s="350"/>
    </row>
    <row r="21" spans="1:9" ht="12.75">
      <c r="A21" s="372" t="s">
        <v>12</v>
      </c>
      <c r="B21" s="524">
        <v>166062476.84</v>
      </c>
      <c r="C21" s="369"/>
      <c r="D21" s="369"/>
      <c r="E21" s="369"/>
      <c r="F21" s="369"/>
      <c r="G21" s="10"/>
      <c r="H21" s="420">
        <v>134113261.72</v>
      </c>
      <c r="I21" s="421">
        <f>B21-H21</f>
        <v>31949215.120000005</v>
      </c>
    </row>
    <row r="22" spans="1:9" ht="12.75">
      <c r="A22" s="372" t="s">
        <v>132</v>
      </c>
      <c r="B22" s="524">
        <v>4123000</v>
      </c>
      <c r="C22" s="369"/>
      <c r="D22" s="369"/>
      <c r="E22" s="369"/>
      <c r="F22" s="369"/>
      <c r="G22" s="10"/>
      <c r="H22" s="420">
        <v>5857000</v>
      </c>
      <c r="I22" s="421">
        <f aca="true" t="shared" si="0" ref="I22:I68">B22-H22</f>
        <v>-1734000</v>
      </c>
    </row>
    <row r="23" spans="1:9" ht="12.75">
      <c r="A23" s="372" t="s">
        <v>13</v>
      </c>
      <c r="B23" s="517">
        <v>0</v>
      </c>
      <c r="C23" s="369"/>
      <c r="D23" s="84"/>
      <c r="E23" s="369"/>
      <c r="F23" s="369"/>
      <c r="G23" s="10"/>
      <c r="H23" s="422">
        <v>0</v>
      </c>
      <c r="I23" s="421">
        <f t="shared" si="0"/>
        <v>0</v>
      </c>
    </row>
    <row r="24" spans="1:9" ht="12.75">
      <c r="A24" s="372" t="s">
        <v>133</v>
      </c>
      <c r="B24" s="524">
        <v>5150000</v>
      </c>
      <c r="C24" s="369"/>
      <c r="D24" s="369"/>
      <c r="E24" s="369"/>
      <c r="F24" s="369"/>
      <c r="G24" s="10"/>
      <c r="H24" s="420">
        <v>4653000</v>
      </c>
      <c r="I24" s="421">
        <f t="shared" si="0"/>
        <v>497000</v>
      </c>
    </row>
    <row r="25" spans="1:9" ht="12.75">
      <c r="A25" s="372" t="s">
        <v>443</v>
      </c>
      <c r="B25" s="517"/>
      <c r="C25" s="369"/>
      <c r="D25" s="369"/>
      <c r="E25" s="369"/>
      <c r="F25" s="330">
        <v>0</v>
      </c>
      <c r="G25" s="10"/>
      <c r="H25" s="422"/>
      <c r="I25" s="421"/>
    </row>
    <row r="26" spans="1:9" ht="12.75">
      <c r="A26" s="372" t="s">
        <v>533</v>
      </c>
      <c r="B26" s="517">
        <v>0</v>
      </c>
      <c r="C26" s="369"/>
      <c r="D26" s="369"/>
      <c r="E26" s="369"/>
      <c r="F26" s="369"/>
      <c r="G26" s="10"/>
      <c r="H26" s="420">
        <v>40000</v>
      </c>
      <c r="I26" s="421">
        <f t="shared" si="0"/>
        <v>-40000</v>
      </c>
    </row>
    <row r="27" spans="1:9" ht="12.75">
      <c r="A27" s="372" t="s">
        <v>534</v>
      </c>
      <c r="B27" s="524">
        <v>16315135.1</v>
      </c>
      <c r="C27" s="369"/>
      <c r="D27" s="84">
        <v>0</v>
      </c>
      <c r="E27" s="369"/>
      <c r="F27" s="369"/>
      <c r="G27" s="10"/>
      <c r="H27" s="420">
        <v>15066735.1</v>
      </c>
      <c r="I27" s="421">
        <f t="shared" si="0"/>
        <v>1248400</v>
      </c>
    </row>
    <row r="28" spans="1:9" ht="12.75">
      <c r="A28" s="372" t="s">
        <v>607</v>
      </c>
      <c r="B28" s="517">
        <v>0</v>
      </c>
      <c r="C28" s="369"/>
      <c r="D28" s="84">
        <v>0</v>
      </c>
      <c r="E28" s="373">
        <v>0</v>
      </c>
      <c r="F28" s="369"/>
      <c r="G28" s="10"/>
      <c r="H28" s="422">
        <v>0</v>
      </c>
      <c r="I28" s="421">
        <f t="shared" si="0"/>
        <v>0</v>
      </c>
    </row>
    <row r="29" spans="1:9" ht="25.5">
      <c r="A29" s="378" t="s">
        <v>608</v>
      </c>
      <c r="B29" s="524">
        <v>4244200</v>
      </c>
      <c r="C29" s="369"/>
      <c r="D29" s="369"/>
      <c r="E29" s="369"/>
      <c r="F29" s="369"/>
      <c r="G29" s="10">
        <v>0</v>
      </c>
      <c r="H29" s="420">
        <v>383000</v>
      </c>
      <c r="I29" s="421">
        <f t="shared" si="0"/>
        <v>3861200</v>
      </c>
    </row>
    <row r="30" spans="1:9" ht="12.75">
      <c r="A30" s="372" t="s">
        <v>609</v>
      </c>
      <c r="B30" s="524">
        <v>600710.68</v>
      </c>
      <c r="C30" s="84">
        <v>0</v>
      </c>
      <c r="D30" s="369"/>
      <c r="E30" s="369"/>
      <c r="F30" s="369"/>
      <c r="G30" s="10"/>
      <c r="H30" s="420">
        <v>190586.06</v>
      </c>
      <c r="I30" s="421">
        <f t="shared" si="0"/>
        <v>410124.62000000005</v>
      </c>
    </row>
    <row r="31" spans="1:9" ht="12.75">
      <c r="A31" s="372" t="s">
        <v>95</v>
      </c>
      <c r="B31" s="524">
        <v>11597756.27</v>
      </c>
      <c r="C31" s="84">
        <v>0</v>
      </c>
      <c r="D31" s="84">
        <v>0</v>
      </c>
      <c r="E31" s="369"/>
      <c r="F31" s="369"/>
      <c r="G31" s="10">
        <v>0</v>
      </c>
      <c r="H31" s="423">
        <v>9373465.2</v>
      </c>
      <c r="I31" s="421">
        <f t="shared" si="0"/>
        <v>2224291.0700000003</v>
      </c>
    </row>
    <row r="32" spans="1:9" ht="12.75">
      <c r="A32" s="372" t="s">
        <v>134</v>
      </c>
      <c r="B32" s="524">
        <v>12046291.54</v>
      </c>
      <c r="C32" s="369"/>
      <c r="D32" s="369"/>
      <c r="E32" s="369"/>
      <c r="F32" s="369"/>
      <c r="G32" s="10"/>
      <c r="H32" s="423">
        <v>9876296.15</v>
      </c>
      <c r="I32" s="421">
        <f t="shared" si="0"/>
        <v>2169995.3899999987</v>
      </c>
    </row>
    <row r="33" spans="1:10" ht="12.75">
      <c r="A33" s="372" t="s">
        <v>14</v>
      </c>
      <c r="B33" s="524">
        <v>1574338.64</v>
      </c>
      <c r="C33" s="369"/>
      <c r="D33" s="369"/>
      <c r="E33" s="369"/>
      <c r="F33" s="369"/>
      <c r="G33" s="10"/>
      <c r="H33" s="420">
        <v>1271731.23</v>
      </c>
      <c r="I33" s="421">
        <f t="shared" si="0"/>
        <v>302607.4099999999</v>
      </c>
      <c r="J33" s="118">
        <f>I22+I31+I32+I33</f>
        <v>2962893.869999999</v>
      </c>
    </row>
    <row r="34" spans="1:9" ht="12.75">
      <c r="A34" s="370" t="s">
        <v>50</v>
      </c>
      <c r="B34" s="371">
        <f>SUM(B35:B46)</f>
        <v>69525210.37</v>
      </c>
      <c r="C34" s="371">
        <f>SUM(C35:C46)</f>
        <v>51830.14000000001</v>
      </c>
      <c r="D34" s="371">
        <f>SUM(D35:D46)</f>
        <v>0</v>
      </c>
      <c r="E34" s="371">
        <f>SUM(E35:E46)</f>
        <v>17375.9</v>
      </c>
      <c r="F34" s="371">
        <f>SUM(F35:F46)</f>
        <v>231977.43</v>
      </c>
      <c r="G34" s="10">
        <f>B34+C34+D34+E34+F34</f>
        <v>69826393.84000002</v>
      </c>
      <c r="H34" s="387"/>
      <c r="I34" s="421"/>
    </row>
    <row r="35" spans="1:9" ht="12.75">
      <c r="A35" s="372" t="s">
        <v>96</v>
      </c>
      <c r="B35" s="524">
        <v>11248114.04</v>
      </c>
      <c r="C35" s="260">
        <v>4303.44</v>
      </c>
      <c r="D35" s="369"/>
      <c r="E35" s="369"/>
      <c r="F35" s="369"/>
      <c r="G35" s="350"/>
      <c r="H35" s="420">
        <v>11773612.9</v>
      </c>
      <c r="I35" s="421">
        <f t="shared" si="0"/>
        <v>-525498.8600000013</v>
      </c>
    </row>
    <row r="36" spans="1:9" ht="12.75">
      <c r="A36" s="372" t="s">
        <v>97</v>
      </c>
      <c r="B36" s="524">
        <v>5649849.61</v>
      </c>
      <c r="C36" s="260">
        <v>0</v>
      </c>
      <c r="D36" s="84">
        <v>0</v>
      </c>
      <c r="E36" s="369"/>
      <c r="F36" s="369"/>
      <c r="G36" s="350"/>
      <c r="H36" s="424">
        <v>4911229.18</v>
      </c>
      <c r="I36" s="425">
        <f t="shared" si="0"/>
        <v>738620.4300000006</v>
      </c>
    </row>
    <row r="37" spans="1:9" ht="12.75">
      <c r="A37" s="372" t="s">
        <v>98</v>
      </c>
      <c r="B37" s="524">
        <v>12437810.24</v>
      </c>
      <c r="C37" s="260">
        <v>0</v>
      </c>
      <c r="D37" s="369">
        <v>0</v>
      </c>
      <c r="E37" s="84"/>
      <c r="F37" s="84"/>
      <c r="G37" s="350"/>
      <c r="H37" s="424">
        <v>5582959.12</v>
      </c>
      <c r="I37" s="425">
        <f t="shared" si="0"/>
        <v>6854851.12</v>
      </c>
    </row>
    <row r="38" spans="1:9" ht="12.75">
      <c r="A38" s="372" t="s">
        <v>15</v>
      </c>
      <c r="B38" s="524">
        <v>5983951.83</v>
      </c>
      <c r="C38" s="260">
        <v>35360</v>
      </c>
      <c r="D38" s="260">
        <v>0</v>
      </c>
      <c r="E38" s="332">
        <v>12600</v>
      </c>
      <c r="F38" s="260">
        <v>219318.6</v>
      </c>
      <c r="G38" s="350"/>
      <c r="H38" s="424">
        <v>3419995.57</v>
      </c>
      <c r="I38" s="425">
        <f t="shared" si="0"/>
        <v>2563956.2600000002</v>
      </c>
    </row>
    <row r="39" spans="1:9" ht="12.75">
      <c r="A39" s="372" t="s">
        <v>16</v>
      </c>
      <c r="B39" s="524">
        <v>2401616.36</v>
      </c>
      <c r="C39" s="260">
        <v>0</v>
      </c>
      <c r="D39" s="260"/>
      <c r="E39" s="452">
        <v>0</v>
      </c>
      <c r="F39" s="330">
        <v>0</v>
      </c>
      <c r="G39" s="350"/>
      <c r="H39" s="424">
        <v>1199175.82</v>
      </c>
      <c r="I39" s="425">
        <f t="shared" si="0"/>
        <v>1202440.5399999998</v>
      </c>
    </row>
    <row r="40" spans="1:9" ht="12.75">
      <c r="A40" s="372" t="s">
        <v>92</v>
      </c>
      <c r="B40" s="524">
        <v>12307958.7</v>
      </c>
      <c r="C40" s="260">
        <v>0</v>
      </c>
      <c r="D40" s="84">
        <v>0</v>
      </c>
      <c r="E40" s="342">
        <v>0</v>
      </c>
      <c r="F40" s="84">
        <v>0</v>
      </c>
      <c r="G40" s="374">
        <v>0</v>
      </c>
      <c r="H40" s="424">
        <v>9065988.47</v>
      </c>
      <c r="I40" s="426">
        <f t="shared" si="0"/>
        <v>3241970.2299999986</v>
      </c>
    </row>
    <row r="41" spans="1:9" ht="12.75">
      <c r="A41" s="372" t="s">
        <v>17</v>
      </c>
      <c r="B41" s="524">
        <v>1512621.89</v>
      </c>
      <c r="C41" s="260">
        <v>0</v>
      </c>
      <c r="D41" s="84"/>
      <c r="E41" s="84">
        <v>0</v>
      </c>
      <c r="F41" s="369"/>
      <c r="G41" s="350"/>
      <c r="H41" s="424">
        <v>1394951.59</v>
      </c>
      <c r="I41" s="425">
        <f t="shared" si="0"/>
        <v>117670.29999999981</v>
      </c>
    </row>
    <row r="42" spans="1:9" ht="12.75">
      <c r="A42" s="372" t="s">
        <v>93</v>
      </c>
      <c r="B42" s="524">
        <v>1842375.94</v>
      </c>
      <c r="C42" s="260">
        <v>11655.3</v>
      </c>
      <c r="D42" s="84"/>
      <c r="E42" s="84"/>
      <c r="F42" s="84"/>
      <c r="G42" s="350"/>
      <c r="H42" s="424">
        <v>4737168.72</v>
      </c>
      <c r="I42" s="425">
        <f t="shared" si="0"/>
        <v>-2894792.78</v>
      </c>
    </row>
    <row r="43" spans="1:9" ht="12.75">
      <c r="A43" s="372" t="s">
        <v>22</v>
      </c>
      <c r="B43" s="524">
        <v>10063557.32</v>
      </c>
      <c r="C43" s="260">
        <v>0</v>
      </c>
      <c r="D43" s="373">
        <v>0</v>
      </c>
      <c r="E43" s="84">
        <v>0</v>
      </c>
      <c r="F43" s="84">
        <v>10450</v>
      </c>
      <c r="G43" s="350"/>
      <c r="H43" s="424">
        <v>4916611.73</v>
      </c>
      <c r="I43" s="425">
        <f t="shared" si="0"/>
        <v>5146945.59</v>
      </c>
    </row>
    <row r="44" spans="1:10" ht="12.75">
      <c r="A44" s="372" t="s">
        <v>137</v>
      </c>
      <c r="B44" s="524">
        <v>5346148.61</v>
      </c>
      <c r="C44" s="260">
        <v>0</v>
      </c>
      <c r="D44" s="84"/>
      <c r="E44" s="373"/>
      <c r="F44" s="373"/>
      <c r="G44" s="374"/>
      <c r="H44" s="424">
        <v>6358927.2</v>
      </c>
      <c r="I44" s="425">
        <f t="shared" si="0"/>
        <v>-1012778.5899999999</v>
      </c>
      <c r="J44" s="118"/>
    </row>
    <row r="45" spans="1:10" ht="12.75">
      <c r="A45" s="372" t="s">
        <v>136</v>
      </c>
      <c r="B45" s="332">
        <v>731205.83</v>
      </c>
      <c r="C45" s="260">
        <v>511.4</v>
      </c>
      <c r="D45" s="260"/>
      <c r="E45" s="330">
        <f>3415.9+295+275+395+395</f>
        <v>4775.9</v>
      </c>
      <c r="F45" s="260">
        <v>2208.83</v>
      </c>
      <c r="G45" s="374"/>
      <c r="H45" s="424">
        <v>73357.17</v>
      </c>
      <c r="I45" s="425">
        <f t="shared" si="0"/>
        <v>657848.6599999999</v>
      </c>
      <c r="J45" s="118"/>
    </row>
    <row r="46" spans="1:9" ht="12.75">
      <c r="A46" s="361"/>
      <c r="B46" s="332"/>
      <c r="C46" s="369"/>
      <c r="D46" s="375">
        <v>0</v>
      </c>
      <c r="E46" s="369"/>
      <c r="F46" s="369"/>
      <c r="G46" s="350"/>
      <c r="H46" s="426"/>
      <c r="I46" s="425">
        <f t="shared" si="0"/>
        <v>0</v>
      </c>
    </row>
    <row r="47" spans="1:9" ht="12.75">
      <c r="A47" s="376" t="s">
        <v>99</v>
      </c>
      <c r="B47" s="371">
        <v>0</v>
      </c>
      <c r="C47" s="369"/>
      <c r="D47" s="369"/>
      <c r="E47" s="369"/>
      <c r="F47" s="369"/>
      <c r="G47" s="350"/>
      <c r="H47" s="120"/>
      <c r="I47" s="312">
        <f t="shared" si="0"/>
        <v>0</v>
      </c>
    </row>
    <row r="48" spans="1:9" ht="12.75">
      <c r="A48" s="370" t="s">
        <v>51</v>
      </c>
      <c r="B48" s="371">
        <f>SUM(B49:B56)</f>
        <v>30743418.759999998</v>
      </c>
      <c r="C48" s="371">
        <f>SUM(C49:C56)</f>
        <v>14954.67</v>
      </c>
      <c r="D48" s="371">
        <v>0</v>
      </c>
      <c r="E48" s="371">
        <f>SUM(E49:E56)</f>
        <v>2400</v>
      </c>
      <c r="F48" s="371">
        <f>SUM(F49:F56)</f>
        <v>63065</v>
      </c>
      <c r="G48" s="374">
        <f>B48+C48+E48+F48</f>
        <v>30823838.43</v>
      </c>
      <c r="H48" s="120"/>
      <c r="I48" s="312"/>
    </row>
    <row r="49" spans="1:9" ht="12.75">
      <c r="A49" s="372" t="s">
        <v>100</v>
      </c>
      <c r="B49" s="517">
        <v>13246507.62</v>
      </c>
      <c r="C49" s="260">
        <v>14504.72</v>
      </c>
      <c r="D49" s="84"/>
      <c r="E49" s="260">
        <v>0</v>
      </c>
      <c r="F49" s="260">
        <v>63065</v>
      </c>
      <c r="G49" s="350"/>
      <c r="H49" s="427">
        <v>9437443.28</v>
      </c>
      <c r="I49" s="312">
        <f t="shared" si="0"/>
        <v>3809064.34</v>
      </c>
    </row>
    <row r="50" spans="1:9" ht="12.75">
      <c r="A50" s="372" t="s">
        <v>18</v>
      </c>
      <c r="B50" s="517">
        <v>2437305.39</v>
      </c>
      <c r="C50" s="260">
        <v>0</v>
      </c>
      <c r="D50" s="84"/>
      <c r="E50" s="369"/>
      <c r="F50" s="369"/>
      <c r="G50" s="374"/>
      <c r="H50" s="427">
        <v>970958.4</v>
      </c>
      <c r="I50" s="312">
        <f t="shared" si="0"/>
        <v>1466346.9900000002</v>
      </c>
    </row>
    <row r="51" spans="1:9" ht="12.75">
      <c r="A51" s="372" t="s">
        <v>101</v>
      </c>
      <c r="B51" s="517">
        <v>1939986.72</v>
      </c>
      <c r="C51" s="260">
        <v>0</v>
      </c>
      <c r="D51" s="84">
        <v>0</v>
      </c>
      <c r="E51" s="369"/>
      <c r="F51" s="369"/>
      <c r="G51" s="350"/>
      <c r="H51" s="427">
        <v>1391013.38</v>
      </c>
      <c r="I51" s="312">
        <f t="shared" si="0"/>
        <v>548973.3400000001</v>
      </c>
    </row>
    <row r="52" spans="1:9" ht="12.75">
      <c r="A52" s="372" t="s">
        <v>138</v>
      </c>
      <c r="B52" s="517">
        <v>1232.87</v>
      </c>
      <c r="C52" s="260">
        <v>0</v>
      </c>
      <c r="D52" s="84"/>
      <c r="E52" s="369"/>
      <c r="F52" s="369"/>
      <c r="G52" s="350"/>
      <c r="H52" s="120"/>
      <c r="I52" s="312">
        <f t="shared" si="0"/>
        <v>1232.87</v>
      </c>
    </row>
    <row r="53" spans="1:9" ht="12.75">
      <c r="A53" s="372" t="s">
        <v>20</v>
      </c>
      <c r="B53" s="517">
        <v>1412898.45</v>
      </c>
      <c r="C53" s="260">
        <v>0</v>
      </c>
      <c r="D53" s="84"/>
      <c r="E53" s="369"/>
      <c r="F53" s="369"/>
      <c r="G53" s="350"/>
      <c r="H53" s="427">
        <v>1177041.45</v>
      </c>
      <c r="I53" s="312">
        <f t="shared" si="0"/>
        <v>235857</v>
      </c>
    </row>
    <row r="54" spans="1:9" ht="12.75">
      <c r="A54" s="372" t="s">
        <v>21</v>
      </c>
      <c r="B54" s="517">
        <v>497588.63</v>
      </c>
      <c r="C54" s="260">
        <v>0</v>
      </c>
      <c r="D54" s="84">
        <v>0</v>
      </c>
      <c r="E54" s="369"/>
      <c r="F54" s="369"/>
      <c r="G54" s="10"/>
      <c r="H54" s="427">
        <v>364999.93</v>
      </c>
      <c r="I54" s="312">
        <f t="shared" si="0"/>
        <v>132588.7</v>
      </c>
    </row>
    <row r="55" spans="1:10" ht="18">
      <c r="A55" s="372" t="s">
        <v>19</v>
      </c>
      <c r="B55" s="517">
        <v>7325995.13</v>
      </c>
      <c r="C55" s="260">
        <v>0</v>
      </c>
      <c r="D55" s="373">
        <v>0</v>
      </c>
      <c r="E55" s="260">
        <v>2400</v>
      </c>
      <c r="F55" s="260">
        <v>0</v>
      </c>
      <c r="G55" s="350"/>
      <c r="H55" s="427">
        <v>5181849.98</v>
      </c>
      <c r="I55" s="312">
        <f t="shared" si="0"/>
        <v>2144145.1499999994</v>
      </c>
      <c r="J55" s="331"/>
    </row>
    <row r="56" spans="1:10" ht="12.75">
      <c r="A56" s="372" t="s">
        <v>94</v>
      </c>
      <c r="B56" s="517">
        <v>3881903.95</v>
      </c>
      <c r="C56" s="332">
        <v>449.95</v>
      </c>
      <c r="D56" s="84">
        <v>0</v>
      </c>
      <c r="E56" s="84"/>
      <c r="F56" s="84"/>
      <c r="G56" s="10"/>
      <c r="H56" s="427">
        <v>2941357.85</v>
      </c>
      <c r="I56" s="312">
        <f t="shared" si="0"/>
        <v>940546.1000000001</v>
      </c>
      <c r="J56" s="7">
        <f>I56+I55+I50+I49+I44+I43+I42+I40+I39+I38+I37+I36</f>
        <v>24201315.38</v>
      </c>
    </row>
    <row r="57" spans="1:9" ht="12.75">
      <c r="A57" s="370" t="s">
        <v>139</v>
      </c>
      <c r="B57" s="371">
        <f>SUM(B58:B62)</f>
        <v>88434206.75</v>
      </c>
      <c r="C57" s="384">
        <v>0</v>
      </c>
      <c r="D57" s="371">
        <v>0</v>
      </c>
      <c r="E57" s="371">
        <f>SUM(E58:E62)</f>
        <v>0</v>
      </c>
      <c r="F57" s="371">
        <f>SUM(F58:F62)</f>
        <v>0</v>
      </c>
      <c r="G57" s="419">
        <f>B57+F57+D57</f>
        <v>88434206.75</v>
      </c>
      <c r="H57" s="120"/>
      <c r="I57" s="312"/>
    </row>
    <row r="58" spans="1:9" ht="12.75">
      <c r="A58" s="372" t="s">
        <v>222</v>
      </c>
      <c r="B58" s="524">
        <v>32250000</v>
      </c>
      <c r="C58" s="84"/>
      <c r="D58" s="84"/>
      <c r="E58" s="369"/>
      <c r="F58" s="369"/>
      <c r="G58" s="350"/>
      <c r="H58" s="120">
        <v>27689779.04</v>
      </c>
      <c r="I58" s="312">
        <f t="shared" si="0"/>
        <v>4560220.960000001</v>
      </c>
    </row>
    <row r="59" spans="1:9" ht="25.5">
      <c r="A59" s="378" t="s">
        <v>223</v>
      </c>
      <c r="B59" s="517">
        <v>739500.85</v>
      </c>
      <c r="C59" s="379">
        <v>0</v>
      </c>
      <c r="D59" s="7">
        <v>0</v>
      </c>
      <c r="E59" s="375"/>
      <c r="F59" s="369"/>
      <c r="G59" s="350"/>
      <c r="H59" s="120">
        <v>271376.36</v>
      </c>
      <c r="I59" s="312">
        <f t="shared" si="0"/>
        <v>468124.49</v>
      </c>
    </row>
    <row r="60" spans="1:9" ht="25.5">
      <c r="A60" s="378" t="s">
        <v>485</v>
      </c>
      <c r="B60" s="524">
        <v>1990509.9</v>
      </c>
      <c r="C60" s="379"/>
      <c r="D60" s="379"/>
      <c r="E60" s="369"/>
      <c r="F60" s="369"/>
      <c r="G60" s="350"/>
      <c r="H60" s="120">
        <v>804539.6</v>
      </c>
      <c r="I60" s="312">
        <f t="shared" si="0"/>
        <v>1185970.2999999998</v>
      </c>
    </row>
    <row r="61" spans="1:9" ht="12.75">
      <c r="A61" s="372" t="s">
        <v>234</v>
      </c>
      <c r="B61" s="524">
        <v>43654196</v>
      </c>
      <c r="C61" s="379"/>
      <c r="D61" s="395">
        <v>0</v>
      </c>
      <c r="E61" s="369"/>
      <c r="F61" s="369"/>
      <c r="G61" s="350"/>
      <c r="H61" s="120">
        <v>36452731</v>
      </c>
      <c r="I61" s="312">
        <f t="shared" si="0"/>
        <v>7201465</v>
      </c>
    </row>
    <row r="62" spans="1:9" ht="13.5" thickBot="1">
      <c r="A62" s="372" t="s">
        <v>235</v>
      </c>
      <c r="B62" s="526">
        <v>9800000</v>
      </c>
      <c r="C62" s="380">
        <v>0</v>
      </c>
      <c r="D62" s="525">
        <v>0</v>
      </c>
      <c r="E62" s="380"/>
      <c r="F62" s="299">
        <v>0</v>
      </c>
      <c r="G62" s="350"/>
      <c r="H62" s="120">
        <v>1284370</v>
      </c>
      <c r="I62" s="312">
        <f t="shared" si="0"/>
        <v>8515630</v>
      </c>
    </row>
    <row r="63" spans="1:9" ht="12.75">
      <c r="A63" s="261" t="s">
        <v>102</v>
      </c>
      <c r="B63" s="262">
        <f>B57+B48+B34+B20+B47</f>
        <v>410416744.95</v>
      </c>
      <c r="C63" s="262">
        <f>C48+C34+C20+C47</f>
        <v>66784.81000000001</v>
      </c>
      <c r="D63" s="262">
        <f>D57+D48+D34+D20+D47</f>
        <v>0</v>
      </c>
      <c r="E63" s="490">
        <f>E34+E20+E48+E57</f>
        <v>19775.9</v>
      </c>
      <c r="F63" s="304">
        <f>F34+F20+F48+F57</f>
        <v>295042.43</v>
      </c>
      <c r="G63" s="374">
        <f>G20+G34+G48+G57</f>
        <v>410798348.09000003</v>
      </c>
      <c r="H63" s="120"/>
      <c r="I63" s="312"/>
    </row>
    <row r="64" spans="1:9" ht="12.75">
      <c r="A64" s="382" t="s">
        <v>103</v>
      </c>
      <c r="B64" s="332">
        <v>9391808.37</v>
      </c>
      <c r="C64" s="84">
        <v>0</v>
      </c>
      <c r="D64" s="369">
        <v>0</v>
      </c>
      <c r="E64" s="369"/>
      <c r="F64" s="369"/>
      <c r="G64" s="10">
        <f>B64</f>
        <v>9391808.37</v>
      </c>
      <c r="H64" s="120">
        <v>7319173.91</v>
      </c>
      <c r="I64" s="312">
        <f t="shared" si="0"/>
        <v>2072634.459999999</v>
      </c>
    </row>
    <row r="65" spans="1:9" ht="12.75">
      <c r="A65" s="382"/>
      <c r="B65" s="383"/>
      <c r="C65" s="369"/>
      <c r="D65" s="369"/>
      <c r="E65" s="369"/>
      <c r="F65" s="369"/>
      <c r="G65" s="350"/>
      <c r="H65" s="120"/>
      <c r="I65" s="312">
        <f t="shared" si="0"/>
        <v>0</v>
      </c>
    </row>
    <row r="66" spans="1:9" ht="12.75">
      <c r="A66" s="382" t="s">
        <v>198</v>
      </c>
      <c r="B66" s="332">
        <v>0</v>
      </c>
      <c r="C66" s="369"/>
      <c r="D66" s="369"/>
      <c r="E66" s="369"/>
      <c r="F66" s="369"/>
      <c r="G66" s="350"/>
      <c r="H66" s="120">
        <v>0</v>
      </c>
      <c r="I66" s="312">
        <f t="shared" si="0"/>
        <v>0</v>
      </c>
    </row>
    <row r="67" spans="1:9" ht="12.75">
      <c r="A67" s="350"/>
      <c r="B67" s="285">
        <f>B63+B64+B66+B65</f>
        <v>419808553.32</v>
      </c>
      <c r="C67" s="285">
        <f>C63</f>
        <v>66784.81000000001</v>
      </c>
      <c r="D67" s="285">
        <f>D63</f>
        <v>0</v>
      </c>
      <c r="E67" s="304">
        <f>E63</f>
        <v>19775.9</v>
      </c>
      <c r="F67" s="304">
        <f>F63</f>
        <v>295042.43</v>
      </c>
      <c r="G67" s="374">
        <f>B67+C67+D67+E67+F67</f>
        <v>420190156.46</v>
      </c>
      <c r="H67" s="120">
        <v>0</v>
      </c>
      <c r="I67" s="312">
        <v>0</v>
      </c>
    </row>
    <row r="68" spans="1:9" ht="12.75">
      <c r="A68" s="349"/>
      <c r="B68" s="384">
        <v>0</v>
      </c>
      <c r="C68" s="286"/>
      <c r="D68" s="260"/>
      <c r="E68" s="369"/>
      <c r="F68" s="369"/>
      <c r="G68" s="374">
        <f>G64+G63</f>
        <v>420190156.46000004</v>
      </c>
      <c r="H68" s="120">
        <v>0</v>
      </c>
      <c r="I68" s="312">
        <f t="shared" si="0"/>
        <v>0</v>
      </c>
    </row>
    <row r="69" spans="1:9" ht="13.5" thickBot="1">
      <c r="A69" s="370" t="s">
        <v>516</v>
      </c>
      <c r="B69" s="332">
        <v>0</v>
      </c>
      <c r="C69" s="287"/>
      <c r="D69" s="299">
        <v>0</v>
      </c>
      <c r="E69" s="381"/>
      <c r="F69" s="381"/>
      <c r="G69" s="350"/>
      <c r="H69" s="120"/>
      <c r="I69" s="312">
        <v>607755.09</v>
      </c>
    </row>
    <row r="70" spans="1:9" ht="12.75">
      <c r="A70" s="385"/>
      <c r="B70" s="288"/>
      <c r="C70" s="289"/>
      <c r="D70" s="289"/>
      <c r="E70" s="368"/>
      <c r="F70" s="368"/>
      <c r="G70" s="350"/>
      <c r="H70" s="120"/>
      <c r="I70" s="310"/>
    </row>
    <row r="71" spans="1:10" ht="12.75">
      <c r="A71" s="263" t="s">
        <v>162</v>
      </c>
      <c r="B71" s="285">
        <f>B67+B69</f>
        <v>419808553.32</v>
      </c>
      <c r="C71" s="285">
        <f>C67+C69</f>
        <v>66784.81000000001</v>
      </c>
      <c r="D71" s="300">
        <f>SUM(D63)</f>
        <v>0</v>
      </c>
      <c r="E71" s="491">
        <f>E67</f>
        <v>19775.9</v>
      </c>
      <c r="F71" s="285">
        <f>F67</f>
        <v>295042.43</v>
      </c>
      <c r="G71" s="357">
        <f>B71+C71+D71+E71+F71</f>
        <v>420190156.46</v>
      </c>
      <c r="H71" s="120">
        <f>SUM(H16:H70)</f>
        <v>329545687.11</v>
      </c>
      <c r="I71" s="312">
        <f>SUM(I19:I70)</f>
        <v>90870621.29999997</v>
      </c>
      <c r="J71">
        <f>11152962.34-10810726.98</f>
        <v>342235.3599999994</v>
      </c>
    </row>
    <row r="72" spans="1:10" ht="12.75">
      <c r="A72" s="386" t="s">
        <v>131</v>
      </c>
      <c r="B72" s="260">
        <v>0</v>
      </c>
      <c r="C72" s="286"/>
      <c r="D72" s="286"/>
      <c r="E72" s="369"/>
      <c r="F72" s="369"/>
      <c r="G72" s="350"/>
      <c r="H72" s="10"/>
      <c r="I72" s="350"/>
      <c r="J72">
        <f>J71-140000</f>
        <v>202235.3599999994</v>
      </c>
    </row>
    <row r="73" spans="1:9" ht="12.75">
      <c r="A73" s="386" t="s">
        <v>189</v>
      </c>
      <c r="B73" s="489">
        <f>SUM(B71:B72)</f>
        <v>419808553.32</v>
      </c>
      <c r="C73" s="489">
        <f>SUM(C71:C72)</f>
        <v>66784.81000000001</v>
      </c>
      <c r="D73" s="300">
        <f>D71</f>
        <v>0</v>
      </c>
      <c r="E73" s="373"/>
      <c r="F73" s="373"/>
      <c r="G73" s="374">
        <f>G71-G67</f>
        <v>0</v>
      </c>
      <c r="H73" s="10"/>
      <c r="I73" s="374">
        <f>H71+I71</f>
        <v>420416308.40999997</v>
      </c>
    </row>
    <row r="74" spans="1:9" ht="13.5" thickBot="1">
      <c r="A74" s="388"/>
      <c r="B74" s="389"/>
      <c r="C74" s="389"/>
      <c r="D74" s="389"/>
      <c r="E74" s="381"/>
      <c r="F74" s="369"/>
      <c r="G74" s="350"/>
      <c r="H74" s="10"/>
      <c r="I74" s="374">
        <f>B73-I73</f>
        <v>-607755.0899999738</v>
      </c>
    </row>
    <row r="75" spans="1:9" ht="13.5" thickBot="1">
      <c r="A75" s="295" t="s">
        <v>288</v>
      </c>
      <c r="B75" s="111"/>
      <c r="C75" s="296"/>
      <c r="D75" s="301">
        <f>B71+C71+D71+E71+F71</f>
        <v>420190156.46</v>
      </c>
      <c r="E75" s="368"/>
      <c r="F75" s="369"/>
      <c r="G75" s="374">
        <f>G73-G71</f>
        <v>-420190156.46</v>
      </c>
      <c r="H75" s="10"/>
      <c r="I75" s="350"/>
    </row>
    <row r="76" spans="1:9" ht="12.75">
      <c r="A76" s="349"/>
      <c r="B76" s="349"/>
      <c r="C76" s="349"/>
      <c r="D76" s="377"/>
      <c r="E76" s="349"/>
      <c r="F76" s="349"/>
      <c r="G76" s="349"/>
      <c r="H76" s="349"/>
      <c r="I76" s="349"/>
    </row>
    <row r="77" spans="1:9" ht="20.25">
      <c r="A77" s="358"/>
      <c r="B77" s="519">
        <f>B73-283343217.43</f>
        <v>136465335.89</v>
      </c>
      <c r="C77" s="519"/>
      <c r="E77" s="358"/>
      <c r="F77" s="396"/>
      <c r="G77" s="396"/>
      <c r="H77" s="396"/>
      <c r="I77" s="358"/>
    </row>
    <row r="78" spans="1:9" ht="20.25">
      <c r="A78" s="359" t="s">
        <v>217</v>
      </c>
      <c r="B78" s="359"/>
      <c r="C78" s="396"/>
      <c r="E78" s="396"/>
      <c r="F78" s="358"/>
      <c r="G78" s="358"/>
      <c r="H78" s="358"/>
      <c r="I78" s="358"/>
    </row>
    <row r="79" spans="1:9" ht="20.25">
      <c r="A79" s="359" t="s">
        <v>219</v>
      </c>
      <c r="B79" s="359"/>
      <c r="C79" s="518"/>
      <c r="D79" s="358"/>
      <c r="E79" s="358"/>
      <c r="F79" s="396"/>
      <c r="G79" s="358"/>
      <c r="H79" s="358"/>
      <c r="I79" s="358"/>
    </row>
    <row r="80" spans="1:9" ht="20.25">
      <c r="A80" s="359" t="s">
        <v>220</v>
      </c>
      <c r="B80" s="360"/>
      <c r="C80" s="358"/>
      <c r="E80" s="358"/>
      <c r="F80" s="358"/>
      <c r="G80" s="358"/>
      <c r="H80" s="358"/>
      <c r="I80" s="358"/>
    </row>
    <row r="81" spans="1:9" ht="20.25">
      <c r="A81" s="359"/>
      <c r="B81" s="359"/>
      <c r="C81" s="396">
        <f>B56+3945.98</f>
        <v>3885849.93</v>
      </c>
      <c r="D81" s="358"/>
      <c r="E81" s="358"/>
      <c r="F81" s="358"/>
      <c r="G81" s="396"/>
      <c r="H81" s="358"/>
      <c r="I81" s="358"/>
    </row>
    <row r="82" spans="1:9" ht="20.25">
      <c r="A82" s="358"/>
      <c r="B82" s="358"/>
      <c r="C82" s="358"/>
      <c r="D82" s="358"/>
      <c r="E82" s="358"/>
      <c r="F82" s="358"/>
      <c r="G82" s="358"/>
      <c r="H82" s="358"/>
      <c r="I82" s="358"/>
    </row>
    <row r="83" spans="1:9" ht="20.25">
      <c r="A83" s="358"/>
      <c r="B83" s="358"/>
      <c r="C83" s="396"/>
      <c r="D83" s="358"/>
      <c r="E83" s="358"/>
      <c r="F83" s="358"/>
      <c r="G83" s="358"/>
      <c r="H83" s="358"/>
      <c r="I83" s="358"/>
    </row>
    <row r="84" spans="1:9" ht="20.25">
      <c r="A84" s="358"/>
      <c r="B84" s="358"/>
      <c r="C84" s="358"/>
      <c r="D84" s="358"/>
      <c r="E84" s="518"/>
      <c r="F84" s="358"/>
      <c r="G84" s="358"/>
      <c r="H84" s="358"/>
      <c r="I84" s="358"/>
    </row>
    <row r="85" spans="1:9" ht="20.25">
      <c r="A85" s="358"/>
      <c r="B85" s="358"/>
      <c r="C85" s="358"/>
      <c r="D85" s="358"/>
      <c r="E85" s="358"/>
      <c r="F85" s="358"/>
      <c r="G85" s="358"/>
      <c r="H85" s="358"/>
      <c r="I85" s="358"/>
    </row>
    <row r="86" spans="1:9" ht="20.25">
      <c r="A86" s="358"/>
      <c r="B86" s="358"/>
      <c r="C86" s="358"/>
      <c r="D86" s="358"/>
      <c r="E86" s="518"/>
      <c r="F86" s="358"/>
      <c r="G86" s="358"/>
      <c r="H86" s="358"/>
      <c r="I86" s="358"/>
    </row>
  </sheetData>
  <sheetProtection/>
  <mergeCells count="5">
    <mergeCell ref="A9:F9"/>
    <mergeCell ref="A10:F10"/>
    <mergeCell ref="A11:F11"/>
    <mergeCell ref="A12:F12"/>
    <mergeCell ref="A13:F13"/>
  </mergeCells>
  <printOptions/>
  <pageMargins left="0.2362204724409449" right="0.2362204724409449" top="0.2362204724409449" bottom="0.15748031496062992" header="0.31496062992125984" footer="0.2362204724409449"/>
  <pageSetup orientation="landscape" scale="7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5"/>
  <sheetViews>
    <sheetView zoomScalePageLayoutView="0" workbookViewId="0" topLeftCell="B1">
      <selection activeCell="D6" sqref="D6"/>
    </sheetView>
  </sheetViews>
  <sheetFormatPr defaultColWidth="9.140625" defaultRowHeight="12.75"/>
  <cols>
    <col min="1" max="1" width="4.28125" style="5" hidden="1" customWidth="1"/>
    <col min="2" max="2" width="53.421875" style="5" customWidth="1"/>
    <col min="3" max="3" width="15.28125" style="25" bestFit="1" customWidth="1"/>
    <col min="4" max="4" width="18.28125" style="25" bestFit="1" customWidth="1"/>
    <col min="5" max="5" width="18.421875" style="5" customWidth="1"/>
    <col min="6" max="6" width="28.00390625" style="5" customWidth="1"/>
    <col min="7" max="8" width="14.7109375" style="5" customWidth="1"/>
    <col min="9" max="9" width="15.140625" style="5" customWidth="1"/>
    <col min="10" max="10" width="12.8515625" style="5" bestFit="1" customWidth="1"/>
    <col min="11" max="11" width="12.8515625" style="5" customWidth="1"/>
    <col min="12" max="12" width="15.140625" style="5" customWidth="1"/>
    <col min="13" max="13" width="15.28125" style="5" customWidth="1"/>
    <col min="14" max="16384" width="9.140625" style="5" customWidth="1"/>
  </cols>
  <sheetData>
    <row r="1" spans="2:4" ht="11.25">
      <c r="B1" s="568"/>
      <c r="C1" s="569"/>
      <c r="D1" s="569"/>
    </row>
    <row r="2" spans="2:13" ht="11.25">
      <c r="B2" s="570"/>
      <c r="C2" s="571"/>
      <c r="D2" s="571"/>
      <c r="F2" s="239"/>
      <c r="M2" s="265"/>
    </row>
    <row r="3" spans="2:14" ht="11.25">
      <c r="B3" s="570"/>
      <c r="C3" s="571"/>
      <c r="D3" s="571"/>
      <c r="E3" s="40"/>
      <c r="M3" s="78"/>
      <c r="N3" s="239"/>
    </row>
    <row r="4" spans="2:14" ht="11.25">
      <c r="B4" s="570"/>
      <c r="C4" s="571"/>
      <c r="D4" s="571"/>
      <c r="E4" s="40"/>
      <c r="M4" s="78"/>
      <c r="N4" s="239"/>
    </row>
    <row r="5" spans="2:14" ht="11.25">
      <c r="B5" s="570"/>
      <c r="C5" s="571"/>
      <c r="D5" s="571"/>
      <c r="E5" s="40"/>
      <c r="M5" s="78"/>
      <c r="N5" s="239"/>
    </row>
    <row r="6" spans="2:14" ht="11.25">
      <c r="B6" s="570"/>
      <c r="C6" s="571"/>
      <c r="D6" s="571"/>
      <c r="E6" s="40"/>
      <c r="M6" s="78"/>
      <c r="N6" s="239"/>
    </row>
    <row r="7" spans="2:11" ht="11.25">
      <c r="B7" s="568"/>
      <c r="C7" s="569"/>
      <c r="D7" s="569"/>
      <c r="F7" s="239"/>
      <c r="G7" s="25"/>
      <c r="H7" s="25"/>
      <c r="I7" s="239"/>
      <c r="K7" s="40"/>
    </row>
    <row r="8" spans="2:11" ht="15.75">
      <c r="B8" s="721" t="s">
        <v>154</v>
      </c>
      <c r="C8" s="721"/>
      <c r="D8" s="721"/>
      <c r="F8" s="239"/>
      <c r="G8" s="25"/>
      <c r="H8" s="25"/>
      <c r="I8" s="239"/>
      <c r="K8" s="40"/>
    </row>
    <row r="9" spans="2:9" ht="11.25">
      <c r="B9" s="720" t="s">
        <v>1012</v>
      </c>
      <c r="C9" s="720"/>
      <c r="D9" s="720"/>
      <c r="F9" s="163"/>
      <c r="G9" s="25"/>
      <c r="H9" s="25"/>
      <c r="I9" s="239"/>
    </row>
    <row r="10" spans="2:14" ht="11.25">
      <c r="B10" s="720" t="s">
        <v>1</v>
      </c>
      <c r="C10" s="720"/>
      <c r="D10" s="720"/>
      <c r="G10" s="25"/>
      <c r="H10" s="25"/>
      <c r="J10" s="239"/>
      <c r="M10" s="78"/>
      <c r="N10" s="239"/>
    </row>
    <row r="11" spans="2:14" ht="11.25">
      <c r="B11" s="720" t="s">
        <v>1001</v>
      </c>
      <c r="C11" s="720"/>
      <c r="D11" s="720"/>
      <c r="F11" s="239"/>
      <c r="G11" s="25"/>
      <c r="H11" s="25"/>
      <c r="I11" s="239"/>
      <c r="M11" s="78"/>
      <c r="N11" s="239"/>
    </row>
    <row r="12" spans="2:14" ht="11.25">
      <c r="B12" s="720" t="s">
        <v>2</v>
      </c>
      <c r="C12" s="720"/>
      <c r="D12" s="720"/>
      <c r="G12" s="25"/>
      <c r="H12" s="25"/>
      <c r="J12" s="25"/>
      <c r="M12" s="78"/>
      <c r="N12" s="239"/>
    </row>
    <row r="13" spans="2:9" ht="11.25">
      <c r="B13" s="570"/>
      <c r="C13" s="572"/>
      <c r="D13" s="572"/>
      <c r="E13" s="40"/>
      <c r="F13" s="239"/>
      <c r="G13" s="25"/>
      <c r="H13" s="25"/>
      <c r="I13" s="265"/>
    </row>
    <row r="14" spans="2:13" ht="11.25">
      <c r="B14" s="573" t="s">
        <v>3</v>
      </c>
      <c r="C14" s="571"/>
      <c r="D14" s="571"/>
      <c r="G14" s="239"/>
      <c r="H14" s="239"/>
      <c r="I14" s="265"/>
      <c r="M14" s="78"/>
    </row>
    <row r="15" spans="2:13" ht="13.5">
      <c r="B15" s="574" t="s">
        <v>4</v>
      </c>
      <c r="C15" s="571"/>
      <c r="D15" s="571"/>
      <c r="G15" s="78"/>
      <c r="H15" s="78"/>
      <c r="I15" s="78"/>
      <c r="J15" s="40"/>
      <c r="M15" s="446"/>
    </row>
    <row r="16" spans="2:13" ht="11.25">
      <c r="B16" s="570" t="s">
        <v>104</v>
      </c>
      <c r="C16" s="571">
        <f>'1101 DISPONIBILIDADES'!C28</f>
        <v>19604464.6</v>
      </c>
      <c r="D16" s="571"/>
      <c r="E16" s="78"/>
      <c r="G16" s="78"/>
      <c r="H16" s="78"/>
      <c r="J16" s="40"/>
      <c r="M16" s="78"/>
    </row>
    <row r="17" spans="2:13" ht="11.25">
      <c r="B17" s="570" t="s">
        <v>500</v>
      </c>
      <c r="C17" s="575">
        <v>10944024.88</v>
      </c>
      <c r="D17" s="571"/>
      <c r="E17" s="40">
        <v>0</v>
      </c>
      <c r="G17" s="78"/>
      <c r="H17" s="78"/>
      <c r="J17" s="78"/>
      <c r="M17" s="25"/>
    </row>
    <row r="18" spans="2:13" ht="11.25">
      <c r="B18" s="570" t="s">
        <v>487</v>
      </c>
      <c r="C18" s="571">
        <v>15492166.21</v>
      </c>
      <c r="D18" s="571"/>
      <c r="E18" s="40"/>
      <c r="G18" s="78"/>
      <c r="H18" s="78"/>
      <c r="I18" s="78"/>
      <c r="M18" s="78"/>
    </row>
    <row r="19" spans="2:13" ht="13.5">
      <c r="B19" s="568" t="s">
        <v>940</v>
      </c>
      <c r="C19" s="576">
        <v>4038600.62</v>
      </c>
      <c r="D19" s="569"/>
      <c r="F19" s="78"/>
      <c r="G19" s="78"/>
      <c r="H19" s="78"/>
      <c r="K19" s="40"/>
      <c r="M19" s="239"/>
    </row>
    <row r="20" spans="2:13" ht="11.25">
      <c r="B20" s="568"/>
      <c r="C20" s="569" t="s">
        <v>942</v>
      </c>
      <c r="D20" s="569"/>
      <c r="K20" s="40"/>
      <c r="M20" s="239"/>
    </row>
    <row r="21" spans="2:13" ht="11.25">
      <c r="B21" s="577" t="s">
        <v>5</v>
      </c>
      <c r="C21" s="571"/>
      <c r="D21" s="578">
        <f>SUM(C16:C19)</f>
        <v>50079256.31</v>
      </c>
      <c r="F21" s="239" t="s">
        <v>599</v>
      </c>
      <c r="G21" s="447">
        <v>149958496.33</v>
      </c>
      <c r="H21" s="78"/>
      <c r="I21" s="163" t="s">
        <v>600</v>
      </c>
      <c r="J21" s="25">
        <v>2300196.96</v>
      </c>
      <c r="K21" s="40"/>
      <c r="M21" s="265"/>
    </row>
    <row r="22" spans="2:13" ht="11.25">
      <c r="B22" s="568"/>
      <c r="C22" s="569"/>
      <c r="D22" s="569"/>
      <c r="E22" s="78"/>
      <c r="I22" s="78"/>
      <c r="M22" s="265"/>
    </row>
    <row r="23" spans="2:10" ht="11.25">
      <c r="B23" s="574" t="s">
        <v>44</v>
      </c>
      <c r="C23" s="571"/>
      <c r="D23" s="571"/>
      <c r="E23" s="78"/>
      <c r="F23" s="239"/>
      <c r="G23" s="265">
        <f>SUM(G21:G22)</f>
        <v>149958496.33</v>
      </c>
      <c r="H23" s="265"/>
      <c r="I23" s="239"/>
      <c r="J23" s="265">
        <f>SUM(J21:J22)</f>
        <v>2300196.96</v>
      </c>
    </row>
    <row r="24" spans="2:13" ht="11.25">
      <c r="B24" s="570" t="s">
        <v>199</v>
      </c>
      <c r="C24" s="571">
        <v>154441894.4</v>
      </c>
      <c r="D24" s="571"/>
      <c r="F24" s="163"/>
      <c r="G24" s="25">
        <v>0</v>
      </c>
      <c r="H24" s="25"/>
      <c r="I24" s="163"/>
      <c r="J24" s="25">
        <v>0</v>
      </c>
      <c r="M24" s="25"/>
    </row>
    <row r="25" spans="2:13" ht="11.25">
      <c r="B25" s="570" t="s">
        <v>105</v>
      </c>
      <c r="C25" s="571">
        <v>2300196.96</v>
      </c>
      <c r="D25" s="571"/>
      <c r="E25" s="78"/>
      <c r="F25" s="265" t="s">
        <v>1005</v>
      </c>
      <c r="G25" s="78">
        <f>G23-G24</f>
        <v>149958496.33</v>
      </c>
      <c r="H25" s="78"/>
      <c r="I25" s="265" t="s">
        <v>949</v>
      </c>
      <c r="J25" s="78">
        <f>J23-J24</f>
        <v>2300196.96</v>
      </c>
      <c r="K25" s="239"/>
      <c r="M25" s="25"/>
    </row>
    <row r="26" spans="2:12" ht="14.25" customHeight="1">
      <c r="B26" s="577" t="s">
        <v>181</v>
      </c>
      <c r="C26" s="571"/>
      <c r="D26" s="571"/>
      <c r="F26" s="493" t="s">
        <v>1006</v>
      </c>
      <c r="G26" s="527">
        <v>64382857.77</v>
      </c>
      <c r="H26" s="163"/>
      <c r="I26" s="493" t="s">
        <v>945</v>
      </c>
      <c r="J26" s="527">
        <v>184151.37</v>
      </c>
      <c r="K26" s="40">
        <f>G26+J26</f>
        <v>64567009.14</v>
      </c>
      <c r="L26" s="40">
        <f>C27-G26</f>
        <v>-150917926.37</v>
      </c>
    </row>
    <row r="27" spans="2:13" ht="13.5">
      <c r="B27" s="570" t="s">
        <v>200</v>
      </c>
      <c r="C27" s="579">
        <v>-86535068.6</v>
      </c>
      <c r="D27" s="571"/>
      <c r="F27" s="265" t="s">
        <v>949</v>
      </c>
      <c r="G27" s="483">
        <f>G25-G26</f>
        <v>85575638.56</v>
      </c>
      <c r="H27" s="265"/>
      <c r="I27" s="78"/>
      <c r="J27" s="483">
        <f>J25-J26</f>
        <v>2116045.59</v>
      </c>
      <c r="L27" s="40">
        <f>64567009.14-G26</f>
        <v>184151.36999999732</v>
      </c>
      <c r="M27" s="78"/>
    </row>
    <row r="28" spans="2:10" ht="11.25">
      <c r="B28" s="570"/>
      <c r="C28" s="571"/>
      <c r="D28" s="571"/>
      <c r="F28" s="265" t="s">
        <v>598</v>
      </c>
      <c r="G28" s="25">
        <f>G27*0.25</f>
        <v>21393909.64</v>
      </c>
      <c r="H28" s="25"/>
      <c r="I28" s="265" t="s">
        <v>598</v>
      </c>
      <c r="J28" s="25">
        <f>J27*0.15</f>
        <v>317406.83849999995</v>
      </c>
    </row>
    <row r="29" spans="2:12" ht="11.25">
      <c r="B29" s="577" t="s">
        <v>201</v>
      </c>
      <c r="C29" s="571"/>
      <c r="D29" s="578">
        <f>SUM(C24:C28)</f>
        <v>70207022.76000002</v>
      </c>
      <c r="F29" s="265" t="s">
        <v>675</v>
      </c>
      <c r="G29" s="25">
        <f>G28/12</f>
        <v>1782825.8033333335</v>
      </c>
      <c r="H29" s="25"/>
      <c r="I29" s="265" t="s">
        <v>675</v>
      </c>
      <c r="J29" s="25">
        <f>J28/12</f>
        <v>26450.569874999997</v>
      </c>
      <c r="K29" s="265"/>
      <c r="L29" s="40">
        <f>C27+J26</f>
        <v>-86350917.22999999</v>
      </c>
    </row>
    <row r="30" spans="2:10" ht="22.5">
      <c r="B30" s="577" t="s">
        <v>6</v>
      </c>
      <c r="C30" s="571"/>
      <c r="D30" s="578">
        <f>+D21+D29</f>
        <v>120286279.07000002</v>
      </c>
      <c r="F30" s="492" t="s">
        <v>1007</v>
      </c>
      <c r="G30" s="25">
        <f>G29*4</f>
        <v>7131303.213333334</v>
      </c>
      <c r="H30" s="25"/>
      <c r="I30" s="492" t="s">
        <v>992</v>
      </c>
      <c r="J30" s="25">
        <f>J29*7</f>
        <v>185153.989125</v>
      </c>
    </row>
    <row r="31" spans="2:12" ht="11.25">
      <c r="B31" s="568"/>
      <c r="C31" s="569"/>
      <c r="D31" s="569"/>
      <c r="F31" s="265" t="s">
        <v>1009</v>
      </c>
      <c r="G31" s="566">
        <v>4483398.07</v>
      </c>
      <c r="H31" s="25"/>
      <c r="I31" s="265" t="s">
        <v>946</v>
      </c>
      <c r="J31" s="25">
        <v>0</v>
      </c>
      <c r="L31" s="5">
        <f>594999.66+686196.9</f>
        <v>1281196.56</v>
      </c>
    </row>
    <row r="32" spans="2:11" ht="11.25">
      <c r="B32" s="577" t="s">
        <v>7</v>
      </c>
      <c r="C32" s="571"/>
      <c r="D32" s="571"/>
      <c r="E32" s="40"/>
      <c r="F32" s="239"/>
      <c r="G32" s="25"/>
      <c r="H32" s="25"/>
      <c r="I32" s="239"/>
      <c r="J32" s="25"/>
      <c r="K32" s="40"/>
    </row>
    <row r="33" spans="2:10" ht="11.25">
      <c r="B33" s="574" t="s">
        <v>8</v>
      </c>
      <c r="C33" s="571"/>
      <c r="D33" s="578"/>
      <c r="E33" s="40"/>
      <c r="F33" s="239" t="s">
        <v>598</v>
      </c>
      <c r="G33" s="78">
        <f>G31/2*0.25</f>
        <v>560424.75875</v>
      </c>
      <c r="H33" s="78"/>
      <c r="I33" s="239" t="s">
        <v>598</v>
      </c>
      <c r="J33" s="78">
        <f>J31/2*0.25</f>
        <v>0</v>
      </c>
    </row>
    <row r="34" spans="2:10" ht="11.25">
      <c r="B34" s="570" t="s">
        <v>503</v>
      </c>
      <c r="C34" s="580">
        <v>0</v>
      </c>
      <c r="D34" s="578"/>
      <c r="E34" s="25">
        <v>0</v>
      </c>
      <c r="F34" s="239" t="s">
        <v>935</v>
      </c>
      <c r="G34" s="78">
        <f>G32/2*0.15</f>
        <v>0</v>
      </c>
      <c r="H34" s="78"/>
      <c r="I34" s="239" t="s">
        <v>935</v>
      </c>
      <c r="J34" s="78">
        <f>J32/2*0.15</f>
        <v>0</v>
      </c>
    </row>
    <row r="35" spans="2:10" ht="11.25">
      <c r="B35" s="568" t="s">
        <v>941</v>
      </c>
      <c r="C35" s="569">
        <v>0</v>
      </c>
      <c r="D35" s="571"/>
      <c r="F35" s="265" t="s">
        <v>1008</v>
      </c>
      <c r="G35" s="25">
        <f>G33/12*3</f>
        <v>140106.1896875</v>
      </c>
      <c r="H35" s="25"/>
      <c r="I35" s="265" t="s">
        <v>947</v>
      </c>
      <c r="J35" s="25">
        <f>J33/12*12</f>
        <v>0</v>
      </c>
    </row>
    <row r="36" spans="2:11" ht="12">
      <c r="B36" s="570" t="s">
        <v>81</v>
      </c>
      <c r="C36" s="567">
        <v>5274769.3</v>
      </c>
      <c r="D36" s="571">
        <v>0</v>
      </c>
      <c r="F36" s="494" t="s">
        <v>999</v>
      </c>
      <c r="G36" s="447">
        <f>G30+G35+G26</f>
        <v>71654267.17302084</v>
      </c>
      <c r="H36" s="78"/>
      <c r="I36" s="494" t="s">
        <v>948</v>
      </c>
      <c r="J36" s="447">
        <f>J26+J30+J35+K34</f>
        <v>369305.35912499996</v>
      </c>
      <c r="K36" s="40">
        <f>G36+J36</f>
        <v>72023572.53214584</v>
      </c>
    </row>
    <row r="37" spans="2:11" ht="11.25">
      <c r="B37" s="570" t="s">
        <v>1000</v>
      </c>
      <c r="C37" s="571">
        <v>2850285.61</v>
      </c>
      <c r="D37" s="571"/>
      <c r="G37" s="239"/>
      <c r="H37" s="239"/>
      <c r="J37" s="239"/>
      <c r="K37" s="78"/>
    </row>
    <row r="38" spans="2:11" ht="11.25">
      <c r="B38" s="570" t="s">
        <v>216</v>
      </c>
      <c r="C38" s="580">
        <v>0</v>
      </c>
      <c r="D38" s="571"/>
      <c r="F38" s="239" t="s">
        <v>700</v>
      </c>
      <c r="G38" s="78">
        <f>G21+G31</f>
        <v>154441894.4</v>
      </c>
      <c r="H38" s="25"/>
      <c r="I38" s="239" t="s">
        <v>600</v>
      </c>
      <c r="J38" s="78">
        <f>J21+J31</f>
        <v>2300196.96</v>
      </c>
      <c r="K38" s="40">
        <f>G38+J38</f>
        <v>156742091.36</v>
      </c>
    </row>
    <row r="39" spans="2:8" ht="11.25">
      <c r="B39" s="570" t="s">
        <v>943</v>
      </c>
      <c r="C39" s="581">
        <v>2818969.97</v>
      </c>
      <c r="D39" s="571">
        <v>0</v>
      </c>
      <c r="E39" s="40"/>
      <c r="H39" s="78"/>
    </row>
    <row r="40" spans="2:10" ht="13.5">
      <c r="B40" s="570" t="s">
        <v>486</v>
      </c>
      <c r="C40" s="579">
        <v>140000</v>
      </c>
      <c r="D40" s="568"/>
      <c r="E40" s="40"/>
      <c r="F40" s="239"/>
      <c r="G40" s="78">
        <f>G27+G31</f>
        <v>90059036.63</v>
      </c>
      <c r="H40" s="78"/>
      <c r="I40" s="239"/>
      <c r="J40" s="78"/>
    </row>
    <row r="41" spans="2:11" ht="11.25">
      <c r="B41" s="574" t="s">
        <v>937</v>
      </c>
      <c r="C41" s="571">
        <v>0</v>
      </c>
      <c r="D41" s="578"/>
      <c r="F41" s="239"/>
      <c r="G41" s="78"/>
      <c r="H41" s="78">
        <f>G36+J36</f>
        <v>72023572.53214584</v>
      </c>
      <c r="I41" s="239"/>
      <c r="J41" s="78">
        <f>L21+J32</f>
        <v>0</v>
      </c>
      <c r="K41" s="25"/>
    </row>
    <row r="42" spans="2:12" ht="11.25">
      <c r="B42" s="568"/>
      <c r="C42" s="568"/>
      <c r="D42" s="578"/>
      <c r="F42" s="239"/>
      <c r="G42" s="78"/>
      <c r="H42" s="78"/>
      <c r="I42" s="265"/>
      <c r="K42" s="25"/>
      <c r="L42" s="40"/>
    </row>
    <row r="43" spans="2:11" ht="11.25">
      <c r="B43" s="577" t="s">
        <v>938</v>
      </c>
      <c r="C43" s="571"/>
      <c r="D43" s="578">
        <f>SUM(C34:C40)</f>
        <v>11084024.88</v>
      </c>
      <c r="E43" s="40"/>
      <c r="F43" s="239"/>
      <c r="G43" s="78"/>
      <c r="H43" s="78"/>
      <c r="I43" s="265"/>
      <c r="K43" s="25"/>
    </row>
    <row r="44" spans="2:11" ht="11.25">
      <c r="B44" s="577"/>
      <c r="C44" s="571"/>
      <c r="D44" s="578"/>
      <c r="E44" s="40"/>
      <c r="F44" s="528"/>
      <c r="G44" s="78"/>
      <c r="H44" s="78">
        <f>C27-G29</f>
        <v>-88317894.40333332</v>
      </c>
      <c r="I44" s="265"/>
      <c r="K44" s="25"/>
    </row>
    <row r="45" spans="2:12" ht="11.25">
      <c r="B45" s="577" t="s">
        <v>9</v>
      </c>
      <c r="C45" s="571"/>
      <c r="D45" s="571"/>
      <c r="F45" s="40"/>
      <c r="G45" s="78"/>
      <c r="H45" s="78"/>
      <c r="I45" s="40"/>
      <c r="J45" s="25"/>
      <c r="K45" s="78"/>
      <c r="L45" s="78"/>
    </row>
    <row r="46" spans="2:8" ht="11.25">
      <c r="B46" s="574" t="s">
        <v>45</v>
      </c>
      <c r="C46" s="571"/>
      <c r="D46" s="578"/>
      <c r="E46" s="25"/>
      <c r="G46" s="78"/>
      <c r="H46" s="78"/>
    </row>
    <row r="47" spans="2:8" ht="11.25">
      <c r="B47" s="570" t="s">
        <v>91</v>
      </c>
      <c r="C47" s="578"/>
      <c r="D47" s="578">
        <v>109202254.19</v>
      </c>
      <c r="E47" s="265"/>
      <c r="F47" s="78"/>
      <c r="G47" s="78"/>
      <c r="H47" s="78"/>
    </row>
    <row r="48" spans="2:8" ht="11.25">
      <c r="B48" s="577" t="s">
        <v>10</v>
      </c>
      <c r="C48" s="571"/>
      <c r="D48" s="578">
        <f>+D43+D47</f>
        <v>120286279.07</v>
      </c>
      <c r="E48" s="28"/>
      <c r="F48" s="528">
        <f>D47+E49</f>
        <v>109202254.19</v>
      </c>
      <c r="G48" s="78"/>
      <c r="H48" s="78"/>
    </row>
    <row r="49" spans="2:6" ht="11.25">
      <c r="B49" s="570"/>
      <c r="C49" s="578"/>
      <c r="D49" s="571"/>
      <c r="E49" s="25">
        <f>D30-D48</f>
        <v>0</v>
      </c>
      <c r="F49" s="40"/>
    </row>
    <row r="50" spans="2:9" ht="11.25">
      <c r="B50" s="568"/>
      <c r="C50" s="569"/>
      <c r="D50" s="569"/>
      <c r="E50" s="40">
        <f>D48-D30</f>
        <v>0</v>
      </c>
      <c r="F50" s="78"/>
      <c r="G50" s="25"/>
      <c r="H50" s="25"/>
      <c r="I50" s="78"/>
    </row>
    <row r="51" spans="2:9" ht="11.25">
      <c r="B51" s="568"/>
      <c r="C51" s="569"/>
      <c r="D51" s="569"/>
      <c r="E51" s="78">
        <f>D47+E49</f>
        <v>109202254.19</v>
      </c>
      <c r="F51" s="40"/>
      <c r="G51" s="78"/>
      <c r="H51" s="78"/>
      <c r="I51" s="78"/>
    </row>
    <row r="52" spans="2:9" ht="11.25">
      <c r="B52" s="570"/>
      <c r="C52" s="571"/>
      <c r="D52" s="571"/>
      <c r="E52" s="78"/>
      <c r="F52" s="78"/>
      <c r="G52" s="239"/>
      <c r="H52" s="239"/>
      <c r="I52" s="78"/>
    </row>
    <row r="53" spans="2:8" ht="11.25">
      <c r="B53" s="570" t="s">
        <v>217</v>
      </c>
      <c r="C53" s="571" t="s">
        <v>518</v>
      </c>
      <c r="D53" s="569"/>
      <c r="E53" s="78"/>
      <c r="F53" s="40"/>
      <c r="G53" s="25"/>
      <c r="H53" s="25"/>
    </row>
    <row r="54" spans="2:8" ht="11.25">
      <c r="B54" s="570" t="s">
        <v>1002</v>
      </c>
      <c r="C54" s="571" t="s">
        <v>1003</v>
      </c>
      <c r="D54" s="569"/>
      <c r="E54" s="78"/>
      <c r="F54" s="78"/>
      <c r="G54" s="78"/>
      <c r="H54" s="78"/>
    </row>
    <row r="55" spans="2:8" ht="11.25">
      <c r="B55" s="570" t="s">
        <v>220</v>
      </c>
      <c r="C55" s="571" t="s">
        <v>989</v>
      </c>
      <c r="D55" s="569"/>
      <c r="G55" s="25"/>
      <c r="H55" s="25"/>
    </row>
    <row r="56" spans="2:9" ht="11.25">
      <c r="B56" s="568"/>
      <c r="C56" s="569"/>
      <c r="D56" s="569"/>
      <c r="E56" s="40"/>
      <c r="G56" s="239"/>
      <c r="H56" s="239"/>
      <c r="I56" s="239"/>
    </row>
    <row r="57" spans="2:9" ht="11.25">
      <c r="B57" s="568"/>
      <c r="C57" s="569"/>
      <c r="D57" s="569"/>
      <c r="E57" s="25"/>
      <c r="G57" s="25"/>
      <c r="H57" s="25"/>
      <c r="I57" s="163"/>
    </row>
    <row r="58" spans="7:9" ht="11.25">
      <c r="G58" s="25"/>
      <c r="H58" s="25"/>
      <c r="I58" s="25"/>
    </row>
    <row r="59" spans="7:9" ht="11.25">
      <c r="G59" s="25"/>
      <c r="H59" s="25"/>
      <c r="I59" s="25"/>
    </row>
    <row r="64" ht="12.75" customHeight="1"/>
    <row r="66" spans="7:8" ht="11.25">
      <c r="G66" s="25"/>
      <c r="H66" s="25"/>
    </row>
    <row r="67" spans="1:8" ht="15.75">
      <c r="A67" s="714" t="s">
        <v>115</v>
      </c>
      <c r="B67" s="714"/>
      <c r="C67" s="714"/>
      <c r="D67" s="714"/>
      <c r="G67" s="78"/>
      <c r="H67" s="78"/>
    </row>
    <row r="68" spans="2:4" ht="12.75" customHeight="1">
      <c r="B68" s="715" t="s">
        <v>484</v>
      </c>
      <c r="C68" s="715"/>
      <c r="D68" s="715"/>
    </row>
    <row r="69" spans="1:4" ht="12.75" customHeight="1">
      <c r="A69" s="715" t="s">
        <v>914</v>
      </c>
      <c r="B69" s="715"/>
      <c r="C69" s="715"/>
      <c r="D69" s="715"/>
    </row>
    <row r="70" spans="1:4" ht="12.75" customHeight="1">
      <c r="A70" s="722" t="s">
        <v>1</v>
      </c>
      <c r="B70" s="722"/>
      <c r="C70" s="722"/>
      <c r="D70" s="722"/>
    </row>
    <row r="71" spans="1:4" ht="11.25">
      <c r="A71" s="715" t="s">
        <v>944</v>
      </c>
      <c r="B71" s="715"/>
      <c r="C71" s="715"/>
      <c r="D71" s="715"/>
    </row>
    <row r="72" spans="1:4" ht="11.25">
      <c r="A72" s="715" t="s">
        <v>2</v>
      </c>
      <c r="B72" s="715"/>
      <c r="C72" s="715"/>
      <c r="D72" s="715"/>
    </row>
    <row r="73" spans="2:5" ht="11.25">
      <c r="B73" s="47"/>
      <c r="C73" s="47"/>
      <c r="D73" s="47"/>
      <c r="E73" s="78"/>
    </row>
    <row r="74" spans="2:5" ht="11.25">
      <c r="B74" s="47"/>
      <c r="C74" s="47"/>
      <c r="D74" s="47"/>
      <c r="E74" s="265"/>
    </row>
    <row r="75" spans="1:6" s="29" customFormat="1" ht="12">
      <c r="A75" s="5"/>
      <c r="B75" s="47"/>
      <c r="C75" s="47"/>
      <c r="D75" s="47"/>
      <c r="E75" s="305"/>
      <c r="F75" s="30"/>
    </row>
    <row r="76" spans="1:6" s="29" customFormat="1" ht="12.75">
      <c r="A76" s="5"/>
      <c r="B76" s="162" t="s">
        <v>180</v>
      </c>
      <c r="C76" s="20">
        <v>654676055</v>
      </c>
      <c r="D76" s="191"/>
      <c r="E76" s="305"/>
      <c r="F76" s="30"/>
    </row>
    <row r="77" spans="1:6" s="29" customFormat="1" ht="12">
      <c r="A77" s="5"/>
      <c r="B77" s="4" t="s">
        <v>181</v>
      </c>
      <c r="C77" s="21"/>
      <c r="D77" s="21"/>
      <c r="E77" s="305"/>
      <c r="F77" s="30"/>
    </row>
    <row r="78" spans="2:8" s="29" customFormat="1" ht="12">
      <c r="B78" s="26" t="s">
        <v>182</v>
      </c>
      <c r="C78" s="21">
        <v>276988347.64</v>
      </c>
      <c r="D78" s="23"/>
      <c r="E78" s="305"/>
      <c r="F78" s="204"/>
      <c r="G78" s="30"/>
      <c r="H78" s="30"/>
    </row>
    <row r="79" spans="4:6" s="29" customFormat="1" ht="12">
      <c r="D79" s="23"/>
      <c r="E79" s="305"/>
      <c r="F79" s="305"/>
    </row>
    <row r="80" spans="2:6" s="29" customFormat="1" ht="14.25">
      <c r="B80" s="4" t="s">
        <v>197</v>
      </c>
      <c r="C80" s="164"/>
      <c r="D80" s="23">
        <f>SUM(C76-C78)</f>
        <v>377687707.36</v>
      </c>
      <c r="E80" s="305"/>
      <c r="F80" s="305"/>
    </row>
    <row r="81" spans="2:6" s="29" customFormat="1" ht="14.25">
      <c r="B81" s="4" t="s">
        <v>131</v>
      </c>
      <c r="C81" s="164"/>
      <c r="E81" s="305"/>
      <c r="F81" s="305"/>
    </row>
    <row r="82" spans="1:10" ht="12">
      <c r="A82" s="29"/>
      <c r="B82" s="26" t="s">
        <v>447</v>
      </c>
      <c r="C82" s="29"/>
      <c r="D82" s="21">
        <v>66784.81</v>
      </c>
      <c r="I82" s="25"/>
      <c r="J82" s="25"/>
    </row>
    <row r="83" spans="1:10" ht="14.25">
      <c r="A83" s="29"/>
      <c r="B83" s="26" t="s">
        <v>446</v>
      </c>
      <c r="C83" s="29"/>
      <c r="D83" s="173">
        <v>6070000</v>
      </c>
      <c r="E83" s="78"/>
      <c r="I83" s="25"/>
      <c r="J83" s="25"/>
    </row>
    <row r="84" spans="1:10" ht="12">
      <c r="A84" s="29"/>
      <c r="B84" s="4" t="s">
        <v>122</v>
      </c>
      <c r="C84" s="29"/>
      <c r="D84" s="39">
        <f>SUM(D80:D83)</f>
        <v>383824492.17</v>
      </c>
      <c r="E84" s="78"/>
      <c r="F84" s="78"/>
      <c r="G84" s="78"/>
      <c r="H84" s="78"/>
      <c r="I84" s="25"/>
      <c r="J84" s="25"/>
    </row>
    <row r="85" spans="2:9" ht="11.25">
      <c r="B85" s="27" t="s">
        <v>11</v>
      </c>
      <c r="C85" s="21"/>
      <c r="D85" s="21"/>
      <c r="F85" s="40"/>
      <c r="I85" s="25"/>
    </row>
    <row r="86" spans="2:9" ht="11.25">
      <c r="B86" s="26" t="s">
        <v>49</v>
      </c>
      <c r="C86" s="6">
        <v>200618246.77</v>
      </c>
      <c r="D86" s="21"/>
      <c r="E86" s="78"/>
      <c r="I86" s="25"/>
    </row>
    <row r="87" spans="2:5" ht="11.25">
      <c r="B87" s="26" t="s">
        <v>50</v>
      </c>
      <c r="C87" s="6">
        <v>63584031.98</v>
      </c>
      <c r="D87" s="32"/>
      <c r="E87" s="78"/>
    </row>
    <row r="88" spans="2:6" ht="11.25">
      <c r="B88" s="31" t="s">
        <v>99</v>
      </c>
      <c r="C88" s="6">
        <v>13076800.69</v>
      </c>
      <c r="D88" s="21"/>
      <c r="F88" s="40"/>
    </row>
    <row r="89" spans="2:9" ht="11.25">
      <c r="B89" s="26" t="s">
        <v>51</v>
      </c>
      <c r="C89" s="6">
        <v>28177454.43</v>
      </c>
      <c r="D89" s="21"/>
      <c r="E89" s="78"/>
      <c r="F89" s="78"/>
      <c r="I89" s="25"/>
    </row>
    <row r="90" spans="2:4" ht="11.25">
      <c r="B90" s="26" t="s">
        <v>139</v>
      </c>
      <c r="C90" s="22">
        <v>81149206.75</v>
      </c>
      <c r="D90" s="21"/>
    </row>
    <row r="91" spans="2:4" ht="11.25">
      <c r="B91" s="26" t="s">
        <v>102</v>
      </c>
      <c r="C91" s="21"/>
      <c r="D91" s="6">
        <f>SUM(C86:C90)</f>
        <v>386605740.62</v>
      </c>
    </row>
    <row r="92" spans="2:4" ht="11.25">
      <c r="B92" s="26"/>
      <c r="C92" s="21">
        <v>0</v>
      </c>
      <c r="D92" s="6">
        <v>0</v>
      </c>
    </row>
    <row r="93" spans="2:5" ht="13.5">
      <c r="B93" s="26"/>
      <c r="C93" s="21"/>
      <c r="D93" s="189">
        <v>0</v>
      </c>
      <c r="E93" s="78"/>
    </row>
    <row r="94" spans="3:6" ht="11.25">
      <c r="C94" s="21"/>
      <c r="D94" s="6">
        <f>SUM(D91:D93)</f>
        <v>386605740.62</v>
      </c>
      <c r="F94" s="25"/>
    </row>
    <row r="95" spans="2:4" ht="12" thickBot="1">
      <c r="B95" s="26" t="s">
        <v>47</v>
      </c>
      <c r="C95" s="21"/>
      <c r="D95" s="190">
        <v>-13076800.69</v>
      </c>
    </row>
    <row r="96" spans="4:6" ht="12" thickTop="1">
      <c r="D96" s="25">
        <f>SUM(D94:D95)</f>
        <v>373528939.93</v>
      </c>
      <c r="F96" s="78"/>
    </row>
    <row r="98" spans="2:4" ht="11.25">
      <c r="B98" s="192" t="s">
        <v>915</v>
      </c>
      <c r="C98" s="24"/>
      <c r="D98" s="24">
        <f>D84-D96</f>
        <v>10295552.24000001</v>
      </c>
    </row>
    <row r="100" spans="5:6" ht="11.25">
      <c r="E100" s="163"/>
      <c r="F100" s="78"/>
    </row>
    <row r="101" spans="5:6" ht="11.25">
      <c r="E101" s="25"/>
      <c r="F101" s="78"/>
    </row>
    <row r="102" spans="2:6" ht="11.25">
      <c r="B102" s="239" t="s">
        <v>217</v>
      </c>
      <c r="C102" s="163" t="s">
        <v>518</v>
      </c>
      <c r="E102" s="25"/>
      <c r="F102" s="78"/>
    </row>
    <row r="103" spans="2:6" ht="11.25">
      <c r="B103" s="239" t="s">
        <v>517</v>
      </c>
      <c r="C103" s="163" t="s">
        <v>701</v>
      </c>
      <c r="E103" s="25"/>
      <c r="F103" s="78"/>
    </row>
    <row r="104" spans="2:6" ht="11.25">
      <c r="B104" s="239" t="s">
        <v>220</v>
      </c>
      <c r="C104" s="163" t="s">
        <v>702</v>
      </c>
      <c r="E104" s="25"/>
      <c r="F104" s="78"/>
    </row>
    <row r="105" ht="11.25">
      <c r="F105" s="78"/>
    </row>
  </sheetData>
  <sheetProtection/>
  <mergeCells count="11">
    <mergeCell ref="A71:D71"/>
    <mergeCell ref="A72:D72"/>
    <mergeCell ref="B11:D11"/>
    <mergeCell ref="B12:D12"/>
    <mergeCell ref="A67:D67"/>
    <mergeCell ref="A69:D69"/>
    <mergeCell ref="B8:D8"/>
    <mergeCell ref="B9:D9"/>
    <mergeCell ref="B10:D10"/>
    <mergeCell ref="B68:D68"/>
    <mergeCell ref="A70:D70"/>
  </mergeCells>
  <printOptions horizontalCentered="1"/>
  <pageMargins left="0.6692913385826772" right="0" top="0.4330708661417323" bottom="0" header="0.1968503937007874" footer="0.5118110236220472"/>
  <pageSetup horizontalDpi="600" verticalDpi="600" orientation="portrait" r:id="rId2"/>
  <rowBreaks count="1" manualBreakCount="1">
    <brk id="60" max="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1">
      <selection activeCell="A87" sqref="A87"/>
    </sheetView>
  </sheetViews>
  <sheetFormatPr defaultColWidth="11.421875" defaultRowHeight="12.75"/>
  <cols>
    <col min="1" max="1" width="12.8515625" style="0" bestFit="1" customWidth="1"/>
  </cols>
  <sheetData>
    <row r="1" ht="12.75">
      <c r="A1" s="7">
        <v>10000</v>
      </c>
    </row>
    <row r="2" ht="12.75">
      <c r="A2" s="7">
        <v>10830</v>
      </c>
    </row>
    <row r="3" ht="12.75">
      <c r="A3" s="7">
        <v>10800.3</v>
      </c>
    </row>
    <row r="4" ht="12.75">
      <c r="A4" s="7">
        <v>2232</v>
      </c>
    </row>
    <row r="5" ht="12.75">
      <c r="A5" s="7">
        <v>3400</v>
      </c>
    </row>
    <row r="6" ht="12.75">
      <c r="A6" s="7">
        <v>15033.2</v>
      </c>
    </row>
    <row r="7" ht="12.75">
      <c r="A7" s="7">
        <v>3146.24</v>
      </c>
    </row>
    <row r="8" ht="12.75">
      <c r="A8" s="7">
        <v>681.39</v>
      </c>
    </row>
    <row r="9" ht="12.75">
      <c r="A9" s="7">
        <v>12288</v>
      </c>
    </row>
    <row r="10" ht="12.75">
      <c r="A10" s="7">
        <v>22857.78</v>
      </c>
    </row>
    <row r="11" ht="12.75">
      <c r="A11" s="7">
        <v>8284.64</v>
      </c>
    </row>
    <row r="12" ht="12.75">
      <c r="A12" s="7">
        <v>13291.52</v>
      </c>
    </row>
    <row r="13" ht="12.75">
      <c r="A13" s="7">
        <v>8392.16</v>
      </c>
    </row>
    <row r="14" ht="12.75">
      <c r="A14" s="7">
        <v>1627.4</v>
      </c>
    </row>
    <row r="15" ht="12.75">
      <c r="A15" s="7">
        <v>2566.86</v>
      </c>
    </row>
    <row r="16" ht="12.75">
      <c r="A16" s="7">
        <v>5766.39</v>
      </c>
    </row>
    <row r="17" ht="12.75">
      <c r="A17" s="7">
        <v>7481.2</v>
      </c>
    </row>
    <row r="18" ht="12.75">
      <c r="A18" s="7">
        <v>34782</v>
      </c>
    </row>
    <row r="19" ht="12.75">
      <c r="A19" s="7">
        <v>684939</v>
      </c>
    </row>
    <row r="20" ht="12.75">
      <c r="A20" s="7">
        <v>18998</v>
      </c>
    </row>
    <row r="21" ht="12.75">
      <c r="A21" s="7">
        <v>3102</v>
      </c>
    </row>
    <row r="22" ht="12.75">
      <c r="A22" s="7">
        <v>16236</v>
      </c>
    </row>
    <row r="23" ht="12.75">
      <c r="A23" s="7">
        <v>36447.84</v>
      </c>
    </row>
    <row r="24" ht="12.75">
      <c r="A24" s="7">
        <v>7779.54</v>
      </c>
    </row>
    <row r="25" ht="12.75">
      <c r="A25" s="7">
        <v>3051</v>
      </c>
    </row>
    <row r="26" ht="12.75">
      <c r="A26" s="7">
        <v>4537</v>
      </c>
    </row>
    <row r="27" ht="12.75">
      <c r="A27" s="7">
        <v>5292.3</v>
      </c>
    </row>
    <row r="28" ht="12.75">
      <c r="A28" s="7">
        <v>4752</v>
      </c>
    </row>
    <row r="29" ht="12.75">
      <c r="A29" s="7">
        <v>6090</v>
      </c>
    </row>
    <row r="30" ht="12.75">
      <c r="A30" s="7">
        <v>6800</v>
      </c>
    </row>
    <row r="31" ht="12.75">
      <c r="A31" s="7">
        <v>9700</v>
      </c>
    </row>
    <row r="32" ht="12.75">
      <c r="A32" s="7">
        <v>6800</v>
      </c>
    </row>
    <row r="33" ht="12.75">
      <c r="A33" s="7">
        <v>11000</v>
      </c>
    </row>
    <row r="34" ht="12.75">
      <c r="A34" s="7">
        <v>76500</v>
      </c>
    </row>
    <row r="35" ht="12.75">
      <c r="A35" s="7">
        <v>1217.16</v>
      </c>
    </row>
    <row r="36" ht="12.75">
      <c r="A36" s="7">
        <v>19250</v>
      </c>
    </row>
    <row r="37" ht="12.75">
      <c r="A37" s="7">
        <v>18144</v>
      </c>
    </row>
    <row r="38" ht="12.75">
      <c r="A38" s="7">
        <v>247</v>
      </c>
    </row>
    <row r="39" ht="12.75">
      <c r="A39" s="7">
        <v>11560</v>
      </c>
    </row>
    <row r="40" ht="12.75">
      <c r="A40" s="7">
        <v>10830</v>
      </c>
    </row>
    <row r="41" ht="12.75">
      <c r="A41" s="7">
        <v>8072</v>
      </c>
    </row>
    <row r="42" ht="12.75">
      <c r="A42" s="7">
        <v>5300</v>
      </c>
    </row>
    <row r="43" ht="12.75">
      <c r="A43" s="7">
        <v>29218.41</v>
      </c>
    </row>
    <row r="44" ht="12.75">
      <c r="A44" s="7">
        <v>1957</v>
      </c>
    </row>
    <row r="45" ht="12.75">
      <c r="A45" s="7">
        <v>15340</v>
      </c>
    </row>
    <row r="46" ht="12.75">
      <c r="A46" s="7">
        <v>5154.6</v>
      </c>
    </row>
    <row r="47" ht="12.75">
      <c r="A47" s="7">
        <v>1255.8</v>
      </c>
    </row>
    <row r="48" ht="12.75">
      <c r="A48" s="7">
        <v>5100</v>
      </c>
    </row>
    <row r="49" ht="12.75">
      <c r="A49" s="7">
        <v>3680</v>
      </c>
    </row>
    <row r="50" ht="12.75">
      <c r="A50" s="7">
        <v>1411.18</v>
      </c>
    </row>
    <row r="51" ht="12.75">
      <c r="A51" s="7">
        <v>226.44</v>
      </c>
    </row>
    <row r="52" ht="12.75">
      <c r="A52" s="7">
        <v>271.04</v>
      </c>
    </row>
    <row r="53" ht="12.75">
      <c r="A53" s="7">
        <v>2669.25</v>
      </c>
    </row>
    <row r="54" ht="12.75">
      <c r="A54" s="7">
        <v>2975</v>
      </c>
    </row>
    <row r="55" ht="12.75">
      <c r="A55" s="7">
        <v>9700</v>
      </c>
    </row>
    <row r="56" ht="12.75">
      <c r="A56" s="7">
        <v>36250</v>
      </c>
    </row>
    <row r="57" ht="12.75">
      <c r="A57" s="7">
        <v>43500</v>
      </c>
    </row>
    <row r="58" ht="12.75">
      <c r="A58" s="7">
        <v>18800</v>
      </c>
    </row>
    <row r="59" ht="12.75">
      <c r="A59" s="7">
        <v>9850</v>
      </c>
    </row>
    <row r="60" ht="12.75">
      <c r="A60" s="7">
        <v>24625</v>
      </c>
    </row>
    <row r="61" ht="12.75">
      <c r="A61" s="7">
        <v>14100</v>
      </c>
    </row>
    <row r="62" ht="12.75">
      <c r="A62" s="7">
        <v>4700</v>
      </c>
    </row>
    <row r="63" ht="12.75">
      <c r="A63" s="7">
        <v>9152.52</v>
      </c>
    </row>
    <row r="64" ht="12.75">
      <c r="A64" s="7">
        <v>6864.39</v>
      </c>
    </row>
    <row r="65" ht="12.75">
      <c r="A65" s="7">
        <v>6864.39</v>
      </c>
    </row>
    <row r="66" ht="12.75">
      <c r="A66" s="7">
        <v>2652</v>
      </c>
    </row>
    <row r="67" ht="12.75">
      <c r="A67" s="7">
        <v>250</v>
      </c>
    </row>
    <row r="68" ht="12.75">
      <c r="A68" s="7">
        <v>4172</v>
      </c>
    </row>
    <row r="69" ht="12.75">
      <c r="A69" s="7">
        <v>102060</v>
      </c>
    </row>
    <row r="70" ht="12.75">
      <c r="A70" s="7">
        <v>18216</v>
      </c>
    </row>
    <row r="71" ht="12.75">
      <c r="A71" s="7">
        <v>4680</v>
      </c>
    </row>
    <row r="72" ht="12.75">
      <c r="A72" s="7">
        <v>700</v>
      </c>
    </row>
    <row r="73" ht="12.75">
      <c r="A73" s="7">
        <v>1900</v>
      </c>
    </row>
    <row r="74" ht="12.75">
      <c r="A74" s="7">
        <v>640</v>
      </c>
    </row>
    <row r="75" ht="12.75">
      <c r="A75" s="7">
        <v>2580</v>
      </c>
    </row>
    <row r="76" ht="12.75">
      <c r="A76" s="7">
        <v>3021.75</v>
      </c>
    </row>
    <row r="77" ht="12.75">
      <c r="A77" s="7">
        <v>64020</v>
      </c>
    </row>
    <row r="78" ht="12.75">
      <c r="A78" s="7">
        <v>15300</v>
      </c>
    </row>
    <row r="79" ht="12.75">
      <c r="A79" s="7">
        <v>4095</v>
      </c>
    </row>
    <row r="80" ht="12.75">
      <c r="A80" s="7">
        <v>3820.16</v>
      </c>
    </row>
    <row r="81" ht="12.75">
      <c r="A81" s="7">
        <v>6061</v>
      </c>
    </row>
    <row r="82" ht="12.75">
      <c r="A82" s="7">
        <v>6000</v>
      </c>
    </row>
    <row r="83" ht="12.75">
      <c r="A83" s="7">
        <v>17805</v>
      </c>
    </row>
    <row r="84" ht="12.75">
      <c r="A84" s="7">
        <v>14550</v>
      </c>
    </row>
    <row r="85" ht="12.75">
      <c r="A85" s="7">
        <v>14610</v>
      </c>
    </row>
    <row r="86" ht="12.75">
      <c r="A86" s="13">
        <f>SUM(A1:A85)</f>
        <v>1690903.8499999999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7"/>
  <sheetViews>
    <sheetView showGridLines="0" workbookViewId="0" topLeftCell="B1">
      <pane ySplit="1" topLeftCell="A2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25.00390625" style="0" customWidth="1"/>
    <col min="2" max="2" width="69.7109375" style="0" bestFit="1" customWidth="1"/>
    <col min="3" max="3" width="15.421875" style="2" bestFit="1" customWidth="1"/>
    <col min="4" max="4" width="14.8515625" style="0" bestFit="1" customWidth="1"/>
    <col min="5" max="5" width="22.8515625" style="0" bestFit="1" customWidth="1"/>
    <col min="6" max="6" width="34.8515625" style="0" customWidth="1"/>
    <col min="7" max="7" width="12.8515625" style="0" bestFit="1" customWidth="1"/>
    <col min="8" max="8" width="15.421875" style="0" customWidth="1"/>
    <col min="9" max="9" width="13.8515625" style="0" bestFit="1" customWidth="1"/>
  </cols>
  <sheetData>
    <row r="1" spans="1:8" ht="12.75" hidden="1">
      <c r="A1" s="106"/>
      <c r="B1" s="106"/>
      <c r="C1" s="106"/>
      <c r="D1" s="106"/>
      <c r="E1" s="266"/>
      <c r="F1" s="266"/>
      <c r="G1" s="266"/>
      <c r="H1" s="266"/>
    </row>
    <row r="2" spans="1:8" ht="12.75">
      <c r="A2" s="241"/>
      <c r="B2" s="241"/>
      <c r="C2" s="166"/>
      <c r="D2" s="166"/>
      <c r="E2" s="726"/>
      <c r="F2" s="726"/>
      <c r="G2" s="726"/>
      <c r="H2" s="726"/>
    </row>
    <row r="3" spans="1:8" ht="12.75">
      <c r="A3" s="241"/>
      <c r="B3" s="241"/>
      <c r="C3" s="166"/>
      <c r="D3" s="166"/>
      <c r="E3" s="196"/>
      <c r="F3" s="196"/>
      <c r="G3" s="196"/>
      <c r="H3" s="196"/>
    </row>
    <row r="4" spans="1:8" ht="12.75">
      <c r="A4" s="241"/>
      <c r="B4" s="241"/>
      <c r="C4" s="166"/>
      <c r="D4" s="166"/>
      <c r="E4" s="196"/>
      <c r="F4" s="196"/>
      <c r="G4" s="196"/>
      <c r="H4" s="196"/>
    </row>
    <row r="5" spans="1:8" ht="12.75">
      <c r="A5" s="241"/>
      <c r="B5" s="241"/>
      <c r="C5" s="166"/>
      <c r="D5" s="166"/>
      <c r="E5" s="196"/>
      <c r="F5" s="196"/>
      <c r="G5" s="196"/>
      <c r="H5" s="196"/>
    </row>
    <row r="6" spans="1:8" ht="12.75">
      <c r="A6" s="241"/>
      <c r="B6" s="241"/>
      <c r="C6" s="166"/>
      <c r="D6" s="166"/>
      <c r="E6" s="196"/>
      <c r="F6" s="196"/>
      <c r="G6" s="196"/>
      <c r="H6" s="196"/>
    </row>
    <row r="7" spans="1:8" ht="12.75">
      <c r="A7" s="241"/>
      <c r="B7" s="241"/>
      <c r="C7" s="166"/>
      <c r="D7" s="166"/>
      <c r="E7" s="266"/>
      <c r="F7" s="267"/>
      <c r="G7" s="217"/>
      <c r="H7" s="217"/>
    </row>
    <row r="8" spans="1:8" ht="12.75">
      <c r="A8" s="241"/>
      <c r="B8" s="241"/>
      <c r="C8" s="166"/>
      <c r="D8" s="166"/>
      <c r="E8" s="267"/>
      <c r="F8" s="267"/>
      <c r="G8" s="266"/>
      <c r="H8" s="266"/>
    </row>
    <row r="9" spans="1:10" ht="15.75">
      <c r="A9" s="714" t="s">
        <v>115</v>
      </c>
      <c r="B9" s="714"/>
      <c r="C9" s="714"/>
      <c r="D9" s="187"/>
      <c r="E9" s="218"/>
      <c r="F9" s="219"/>
      <c r="G9" s="218"/>
      <c r="H9" s="218"/>
      <c r="I9" s="205"/>
      <c r="J9" s="205"/>
    </row>
    <row r="10" spans="1:8" ht="12.75">
      <c r="A10" s="715" t="s">
        <v>203</v>
      </c>
      <c r="B10" s="715"/>
      <c r="C10" s="715"/>
      <c r="D10" s="99"/>
      <c r="E10" s="220"/>
      <c r="F10" s="221"/>
      <c r="G10" s="266"/>
      <c r="H10" s="268"/>
    </row>
    <row r="11" spans="1:9" ht="12.75">
      <c r="A11" s="722" t="s">
        <v>1</v>
      </c>
      <c r="B11" s="722"/>
      <c r="C11" s="722"/>
      <c r="D11" s="188"/>
      <c r="E11" s="269">
        <v>43921.26</v>
      </c>
      <c r="F11" s="222"/>
      <c r="G11" s="222"/>
      <c r="H11" s="207"/>
      <c r="I11" s="207"/>
    </row>
    <row r="12" spans="1:8" ht="12.75">
      <c r="A12" s="715" t="s">
        <v>221</v>
      </c>
      <c r="B12" s="715"/>
      <c r="C12" s="715"/>
      <c r="D12" s="99"/>
      <c r="E12" s="256">
        <v>19005.8</v>
      </c>
      <c r="F12" s="197"/>
      <c r="G12" s="197"/>
      <c r="H12" s="197"/>
    </row>
    <row r="13" spans="1:8" ht="12.75">
      <c r="A13" s="727" t="s">
        <v>2</v>
      </c>
      <c r="B13" s="727"/>
      <c r="C13" s="727"/>
      <c r="D13" s="197"/>
      <c r="E13" s="257">
        <v>5535.5</v>
      </c>
      <c r="F13" s="197"/>
      <c r="G13" s="197"/>
      <c r="H13" s="197"/>
    </row>
    <row r="14" spans="1:8" ht="12.75">
      <c r="A14" s="106"/>
      <c r="B14" s="106"/>
      <c r="C14" s="250"/>
      <c r="D14" s="106"/>
      <c r="E14" s="258">
        <f>SUM(E11:E13)</f>
        <v>68462.56</v>
      </c>
      <c r="F14" s="223"/>
      <c r="G14" s="270"/>
      <c r="H14" s="266"/>
    </row>
    <row r="15" spans="1:8" ht="12.75">
      <c r="A15" s="196"/>
      <c r="B15" s="196"/>
      <c r="C15" s="17"/>
      <c r="D15" s="106"/>
      <c r="E15" s="259">
        <v>-66184.1</v>
      </c>
      <c r="F15" s="271"/>
      <c r="G15" s="270"/>
      <c r="H15" s="266"/>
    </row>
    <row r="16" spans="1:8" ht="12.75">
      <c r="A16" s="196"/>
      <c r="B16" s="196"/>
      <c r="C16" s="17"/>
      <c r="D16" s="106"/>
      <c r="E16" s="272">
        <f>SUM(E14:E15)</f>
        <v>2278.459999999992</v>
      </c>
      <c r="F16" s="224"/>
      <c r="G16" s="266"/>
      <c r="H16" s="266"/>
    </row>
    <row r="17" spans="1:8" ht="13.5" thickBot="1">
      <c r="A17" s="725" t="s">
        <v>52</v>
      </c>
      <c r="B17" s="725"/>
      <c r="C17" s="81">
        <v>2016</v>
      </c>
      <c r="D17" s="106"/>
      <c r="E17" s="95"/>
      <c r="F17" s="221"/>
      <c r="G17" s="266"/>
      <c r="H17" s="269"/>
    </row>
    <row r="18" spans="1:8" ht="15">
      <c r="A18" s="9" t="s">
        <v>40</v>
      </c>
      <c r="B18" s="9" t="s">
        <v>41</v>
      </c>
      <c r="C18" s="18" t="s">
        <v>43</v>
      </c>
      <c r="D18" s="106"/>
      <c r="E18" s="266"/>
      <c r="F18" s="266"/>
      <c r="G18" s="266"/>
      <c r="H18" s="266"/>
    </row>
    <row r="19" spans="1:8" ht="14.25">
      <c r="A19" s="193">
        <v>1101010002</v>
      </c>
      <c r="B19" s="194" t="s">
        <v>202</v>
      </c>
      <c r="C19" s="195">
        <v>60000</v>
      </c>
      <c r="D19" s="106"/>
      <c r="E19" s="266"/>
      <c r="F19" s="266"/>
      <c r="G19" s="266"/>
      <c r="H19" s="266"/>
    </row>
    <row r="20" spans="1:8" s="12" customFormat="1" ht="14.25">
      <c r="A20" s="8" t="s">
        <v>23</v>
      </c>
      <c r="B20" s="79" t="s">
        <v>141</v>
      </c>
      <c r="C20" s="43">
        <v>7300.98</v>
      </c>
      <c r="D20" s="273"/>
      <c r="E20" s="274"/>
      <c r="F20" s="274"/>
      <c r="G20" s="274"/>
      <c r="H20" s="274"/>
    </row>
    <row r="21" spans="1:8" s="12" customFormat="1" ht="14.25">
      <c r="A21" s="8" t="s">
        <v>24</v>
      </c>
      <c r="B21" s="79" t="s">
        <v>444</v>
      </c>
      <c r="C21" s="43">
        <v>18310852.49</v>
      </c>
      <c r="D21" s="243"/>
      <c r="E21" s="243"/>
      <c r="F21" s="243"/>
      <c r="G21" s="243"/>
      <c r="H21" s="243"/>
    </row>
    <row r="22" spans="1:8" s="12" customFormat="1" ht="14.25">
      <c r="A22" s="8" t="s">
        <v>53</v>
      </c>
      <c r="B22" s="79" t="s">
        <v>142</v>
      </c>
      <c r="C22" s="43">
        <v>138635.88</v>
      </c>
      <c r="D22" s="243"/>
      <c r="E22" s="243"/>
      <c r="F22" s="243"/>
      <c r="G22" s="243"/>
      <c r="H22" s="243"/>
    </row>
    <row r="23" spans="1:8" s="12" customFormat="1" ht="14.25">
      <c r="A23" s="8" t="s">
        <v>54</v>
      </c>
      <c r="B23" s="80" t="s">
        <v>140</v>
      </c>
      <c r="C23" s="19">
        <v>242477.85</v>
      </c>
      <c r="D23" s="273">
        <f>SUM(C19:C23)</f>
        <v>18759267.2</v>
      </c>
      <c r="E23" s="243"/>
      <c r="F23" s="243"/>
      <c r="G23" s="243"/>
      <c r="H23" s="243"/>
    </row>
    <row r="24" spans="1:8" s="12" customFormat="1" ht="12.75">
      <c r="A24" s="14"/>
      <c r="B24" s="14"/>
      <c r="C24" s="275"/>
      <c r="D24" s="243"/>
      <c r="E24" s="243"/>
      <c r="F24" s="243"/>
      <c r="G24" s="243"/>
      <c r="H24" s="243"/>
    </row>
    <row r="25" spans="1:8" s="12" customFormat="1" ht="12.75">
      <c r="A25" s="8" t="s">
        <v>38</v>
      </c>
      <c r="B25" s="8" t="s">
        <v>39</v>
      </c>
      <c r="C25" s="245">
        <v>12617152.92</v>
      </c>
      <c r="D25" s="243"/>
      <c r="E25" s="243"/>
      <c r="F25" s="243"/>
      <c r="G25" s="243"/>
      <c r="H25" s="243"/>
    </row>
    <row r="26" spans="1:8" s="12" customFormat="1" ht="12.75">
      <c r="A26" s="8" t="s">
        <v>25</v>
      </c>
      <c r="B26" s="8" t="s">
        <v>84</v>
      </c>
      <c r="C26" s="245">
        <f>'BIENES USO MMUJER'!F15</f>
        <v>4978157.18</v>
      </c>
      <c r="D26" s="243"/>
      <c r="E26" s="243"/>
      <c r="F26" s="243"/>
      <c r="G26" s="243"/>
      <c r="H26" s="243"/>
    </row>
    <row r="27" spans="1:8" s="12" customFormat="1" ht="12.75">
      <c r="A27" s="8" t="s">
        <v>55</v>
      </c>
      <c r="B27" s="8" t="s">
        <v>56</v>
      </c>
      <c r="C27" s="245">
        <f>'BIENES USO MMUJER'!F16</f>
        <v>46851714.17</v>
      </c>
      <c r="D27" s="243"/>
      <c r="E27" s="243"/>
      <c r="F27" s="243"/>
      <c r="G27" s="243"/>
      <c r="H27" s="243"/>
    </row>
    <row r="28" spans="1:8" s="12" customFormat="1" ht="12.75">
      <c r="A28" s="8" t="s">
        <v>26</v>
      </c>
      <c r="B28" s="8" t="s">
        <v>27</v>
      </c>
      <c r="C28" s="245">
        <f>'BIENES USO MMUJER'!F17</f>
        <v>32606820.72</v>
      </c>
      <c r="D28" s="243"/>
      <c r="E28" s="243"/>
      <c r="F28" s="243"/>
      <c r="G28" s="243"/>
      <c r="H28" s="243"/>
    </row>
    <row r="29" spans="1:8" s="12" customFormat="1" ht="12.75">
      <c r="A29" s="8" t="s">
        <v>57</v>
      </c>
      <c r="B29" s="8" t="s">
        <v>58</v>
      </c>
      <c r="C29" s="245">
        <f>'BIENES USO MMUJER'!F18</f>
        <v>26678</v>
      </c>
      <c r="D29" s="243"/>
      <c r="E29" s="243"/>
      <c r="F29" s="243"/>
      <c r="G29" s="243"/>
      <c r="H29" s="243"/>
    </row>
    <row r="30" spans="1:8" s="12" customFormat="1" ht="12.75">
      <c r="A30" s="8" t="s">
        <v>28</v>
      </c>
      <c r="B30" s="8" t="s">
        <v>29</v>
      </c>
      <c r="C30" s="245">
        <f>'BIENES USO MMUJER'!F19</f>
        <v>4757914.25</v>
      </c>
      <c r="D30" s="273"/>
      <c r="E30" s="243"/>
      <c r="F30" s="243"/>
      <c r="G30" s="243"/>
      <c r="H30" s="243"/>
    </row>
    <row r="31" spans="1:8" s="12" customFormat="1" ht="12.75">
      <c r="A31" s="8" t="s">
        <v>30</v>
      </c>
      <c r="B31" s="8" t="s">
        <v>31</v>
      </c>
      <c r="C31" s="245">
        <f>'BIENES USO MMUJER'!F20</f>
        <v>31327554.93</v>
      </c>
      <c r="D31" s="243"/>
      <c r="E31" s="243"/>
      <c r="F31" s="243"/>
      <c r="G31" s="243"/>
      <c r="H31" s="243"/>
    </row>
    <row r="32" spans="1:8" s="12" customFormat="1" ht="12.75">
      <c r="A32" s="8" t="s">
        <v>59</v>
      </c>
      <c r="B32" s="8" t="s">
        <v>60</v>
      </c>
      <c r="C32" s="245">
        <f>'BIENES USO MMUJER'!F21</f>
        <v>33448.68</v>
      </c>
      <c r="D32" s="243"/>
      <c r="E32" s="243"/>
      <c r="F32" s="243"/>
      <c r="G32" s="243"/>
      <c r="H32" s="243"/>
    </row>
    <row r="33" spans="1:8" s="12" customFormat="1" ht="12.75">
      <c r="A33" s="8" t="s">
        <v>34</v>
      </c>
      <c r="B33" s="8" t="s">
        <v>35</v>
      </c>
      <c r="C33" s="245">
        <f>'BIENES USO MMUJER'!F22</f>
        <v>4530129.84</v>
      </c>
      <c r="D33" s="243"/>
      <c r="E33" s="243"/>
      <c r="F33" s="243"/>
      <c r="G33" s="243"/>
      <c r="H33" s="243"/>
    </row>
    <row r="34" spans="1:8" ht="12.75">
      <c r="A34" s="8" t="s">
        <v>145</v>
      </c>
      <c r="B34" s="8" t="s">
        <v>146</v>
      </c>
      <c r="C34" s="245" t="e">
        <f>'BIENES USO MMUJER'!#REF!</f>
        <v>#REF!</v>
      </c>
      <c r="D34" s="276"/>
      <c r="E34" s="106"/>
      <c r="F34" s="106"/>
      <c r="G34" s="106"/>
      <c r="H34" s="106"/>
    </row>
    <row r="35" spans="1:8" ht="12.75">
      <c r="A35" s="8" t="s">
        <v>61</v>
      </c>
      <c r="B35" s="8" t="s">
        <v>62</v>
      </c>
      <c r="C35" s="245">
        <v>0</v>
      </c>
      <c r="D35" s="106"/>
      <c r="E35" s="106"/>
      <c r="F35" s="106"/>
      <c r="G35" s="106"/>
      <c r="H35" s="106"/>
    </row>
    <row r="36" spans="1:8" ht="12.75">
      <c r="A36" s="8" t="s">
        <v>63</v>
      </c>
      <c r="B36" s="8" t="s">
        <v>64</v>
      </c>
      <c r="C36" s="245" t="e">
        <f>'BIENES USO MMUJER'!#REF!</f>
        <v>#REF!</v>
      </c>
      <c r="D36" s="106"/>
      <c r="E36" s="106"/>
      <c r="F36" s="106"/>
      <c r="G36" s="106"/>
      <c r="H36" s="106"/>
    </row>
    <row r="37" spans="1:8" ht="12.75">
      <c r="A37" s="8" t="s">
        <v>65</v>
      </c>
      <c r="B37" s="8" t="s">
        <v>66</v>
      </c>
      <c r="C37" s="245">
        <f>'BIENES USO MMUJER'!F23</f>
        <v>1700</v>
      </c>
      <c r="D37" s="106"/>
      <c r="E37" s="106"/>
      <c r="F37" s="106"/>
      <c r="G37" s="106"/>
      <c r="H37" s="106"/>
    </row>
    <row r="38" spans="1:8" ht="12.75">
      <c r="A38" s="8" t="s">
        <v>32</v>
      </c>
      <c r="B38" s="8" t="s">
        <v>33</v>
      </c>
      <c r="C38" s="245">
        <f>'BIENES USO MMUJER'!F25</f>
        <v>8266805.43</v>
      </c>
      <c r="D38" s="276"/>
      <c r="E38" s="106"/>
      <c r="F38" s="106"/>
      <c r="G38" s="106"/>
      <c r="H38" s="106"/>
    </row>
    <row r="39" spans="1:8" ht="12.75">
      <c r="A39" s="8"/>
      <c r="B39" s="8" t="s">
        <v>183</v>
      </c>
      <c r="C39" s="245" t="e">
        <f>'BIENES USO MMUJER'!#REF!</f>
        <v>#REF!</v>
      </c>
      <c r="D39" s="276"/>
      <c r="E39" s="106"/>
      <c r="F39" s="106"/>
      <c r="G39" s="106"/>
      <c r="H39" s="106"/>
    </row>
    <row r="40" spans="1:8" ht="12.75">
      <c r="A40" s="14"/>
      <c r="B40" s="8" t="s">
        <v>184</v>
      </c>
      <c r="C40" s="245">
        <v>303200.36</v>
      </c>
      <c r="D40" s="106"/>
      <c r="E40" s="283"/>
      <c r="F40" s="106"/>
      <c r="G40" s="106"/>
      <c r="H40" s="106"/>
    </row>
    <row r="41" spans="1:8" ht="12.75">
      <c r="A41" s="8" t="s">
        <v>36</v>
      </c>
      <c r="B41" s="8" t="s">
        <v>37</v>
      </c>
      <c r="C41" s="244">
        <v>-48570545.53</v>
      </c>
      <c r="D41" s="106"/>
      <c r="E41" s="106"/>
      <c r="F41" s="106"/>
      <c r="G41" s="106"/>
      <c r="H41" s="106"/>
    </row>
    <row r="42" spans="1:8" ht="12.75">
      <c r="A42" s="8" t="s">
        <v>38</v>
      </c>
      <c r="B42" s="8" t="s">
        <v>147</v>
      </c>
      <c r="C42" s="245">
        <f>'1208 BIENES INTANGIBLES'!E19</f>
        <v>2161590.11</v>
      </c>
      <c r="D42" s="276" t="e">
        <f>SUM(C25:C42)</f>
        <v>#REF!</v>
      </c>
      <c r="E42" s="106"/>
      <c r="F42" s="106"/>
      <c r="G42" s="106"/>
      <c r="H42" s="106"/>
    </row>
    <row r="43" spans="1:8" ht="12.75">
      <c r="A43" s="14"/>
      <c r="B43" s="8"/>
      <c r="C43" s="245">
        <v>0</v>
      </c>
      <c r="D43" s="106"/>
      <c r="E43" s="106"/>
      <c r="F43" s="106"/>
      <c r="G43" s="106"/>
      <c r="H43" s="106"/>
    </row>
    <row r="44" spans="1:8" ht="12.75">
      <c r="A44" s="14" t="s">
        <v>67</v>
      </c>
      <c r="B44" s="8" t="s">
        <v>68</v>
      </c>
      <c r="C44" s="245"/>
      <c r="D44" s="106"/>
      <c r="E44" s="106"/>
      <c r="F44" s="106"/>
      <c r="G44" s="106"/>
      <c r="H44" s="106"/>
    </row>
    <row r="45" spans="1:8" ht="12.75">
      <c r="A45" s="14"/>
      <c r="B45" s="8" t="s">
        <v>81</v>
      </c>
      <c r="C45" s="244">
        <v>0</v>
      </c>
      <c r="D45" s="106"/>
      <c r="E45" s="106"/>
      <c r="F45" s="106"/>
      <c r="G45" s="106"/>
      <c r="H45" s="106"/>
    </row>
    <row r="46" spans="1:8" ht="12.75">
      <c r="A46" s="14" t="s">
        <v>69</v>
      </c>
      <c r="B46" s="8" t="s">
        <v>70</v>
      </c>
      <c r="C46" s="244">
        <v>-12104061.4</v>
      </c>
      <c r="D46" s="106"/>
      <c r="E46" s="106">
        <f>2628791+14000</f>
        <v>2642791</v>
      </c>
      <c r="F46" s="106"/>
      <c r="G46" s="106"/>
      <c r="H46" s="106"/>
    </row>
    <row r="47" spans="1:8" ht="24">
      <c r="A47" s="14" t="s">
        <v>71</v>
      </c>
      <c r="B47" s="203" t="s">
        <v>72</v>
      </c>
      <c r="C47" s="244">
        <v>-3478000</v>
      </c>
      <c r="D47" s="106"/>
      <c r="E47" s="106"/>
      <c r="F47" s="106"/>
      <c r="G47" s="106"/>
      <c r="H47" s="106"/>
    </row>
    <row r="48" spans="1:8" ht="12.75">
      <c r="A48" s="14" t="s">
        <v>210</v>
      </c>
      <c r="B48" s="8" t="s">
        <v>209</v>
      </c>
      <c r="C48" s="244">
        <v>-2642791</v>
      </c>
      <c r="D48" s="106"/>
      <c r="E48" s="106"/>
      <c r="F48" s="106"/>
      <c r="G48" s="106"/>
      <c r="H48" s="106"/>
    </row>
    <row r="49" spans="1:8" ht="12.75">
      <c r="A49" s="14"/>
      <c r="B49" s="8"/>
      <c r="C49" s="245">
        <v>0</v>
      </c>
      <c r="D49" s="276">
        <f>SUM(C43:C49)</f>
        <v>-18224852.4</v>
      </c>
      <c r="E49" s="106"/>
      <c r="F49" s="106"/>
      <c r="G49" s="106"/>
      <c r="H49" s="106"/>
    </row>
    <row r="50" spans="1:9" ht="12.75">
      <c r="A50" s="14"/>
      <c r="B50" s="8"/>
      <c r="C50" s="245">
        <v>0</v>
      </c>
      <c r="D50" s="106"/>
      <c r="E50" s="277"/>
      <c r="F50" s="278" t="s">
        <v>204</v>
      </c>
      <c r="G50" s="277"/>
      <c r="H50" s="106"/>
      <c r="I50" s="1" t="s">
        <v>204</v>
      </c>
    </row>
    <row r="51" spans="1:11" ht="12.75">
      <c r="A51" s="14"/>
      <c r="B51" s="8"/>
      <c r="C51" s="245">
        <v>0</v>
      </c>
      <c r="D51" s="106"/>
      <c r="E51" s="277"/>
      <c r="F51" s="278" t="s">
        <v>205</v>
      </c>
      <c r="G51" s="277"/>
      <c r="H51" s="106"/>
      <c r="I51" s="198" t="s">
        <v>207</v>
      </c>
      <c r="J51" s="199"/>
      <c r="K51" s="199"/>
    </row>
    <row r="52" spans="1:11" ht="12.75">
      <c r="A52" s="14"/>
      <c r="B52" s="8"/>
      <c r="C52" s="245">
        <v>0</v>
      </c>
      <c r="D52" s="106"/>
      <c r="E52" s="277"/>
      <c r="F52" s="278" t="s">
        <v>206</v>
      </c>
      <c r="G52" s="277"/>
      <c r="H52" s="106"/>
      <c r="I52" s="198" t="s">
        <v>208</v>
      </c>
      <c r="J52" s="199"/>
      <c r="K52" s="199"/>
    </row>
    <row r="53" spans="1:11" ht="12.75">
      <c r="A53" s="14" t="s">
        <v>75</v>
      </c>
      <c r="B53" s="8" t="s">
        <v>107</v>
      </c>
      <c r="C53" s="244">
        <v>-15849854.55</v>
      </c>
      <c r="D53" s="106"/>
      <c r="E53" s="277"/>
      <c r="F53" s="279">
        <v>18072496.8</v>
      </c>
      <c r="G53" s="278"/>
      <c r="H53" s="106"/>
      <c r="I53" s="200">
        <v>16072496.8</v>
      </c>
      <c r="J53" s="199"/>
      <c r="K53" s="199"/>
    </row>
    <row r="54" spans="1:11" ht="12.75">
      <c r="A54" s="14" t="s">
        <v>76</v>
      </c>
      <c r="B54" s="8" t="s">
        <v>108</v>
      </c>
      <c r="C54" s="244">
        <v>-16072496.8</v>
      </c>
      <c r="D54" s="276">
        <f>SUM(C53:C54)</f>
        <v>-31922351.35</v>
      </c>
      <c r="E54" s="277"/>
      <c r="F54" s="279">
        <v>2222642.25</v>
      </c>
      <c r="G54" s="277"/>
      <c r="H54" s="106"/>
      <c r="I54" s="200">
        <v>1163797.25</v>
      </c>
      <c r="J54" s="199"/>
      <c r="K54" s="199"/>
    </row>
    <row r="55" spans="1:11" ht="15">
      <c r="A55" s="14" t="s">
        <v>215</v>
      </c>
      <c r="B55" s="8" t="s">
        <v>224</v>
      </c>
      <c r="C55" s="244">
        <v>-1163797.25</v>
      </c>
      <c r="D55" s="276">
        <f>SUM(C55)</f>
        <v>-1163797.25</v>
      </c>
      <c r="E55" s="277"/>
      <c r="F55" s="279">
        <v>0</v>
      </c>
      <c r="G55" s="277"/>
      <c r="H55" s="106"/>
      <c r="I55" s="201">
        <v>-4238007.02</v>
      </c>
      <c r="J55" s="199"/>
      <c r="K55" s="199"/>
    </row>
    <row r="56" spans="1:11" ht="15">
      <c r="A56" s="14"/>
      <c r="B56" s="8" t="s">
        <v>445</v>
      </c>
      <c r="C56" s="244">
        <v>325999.99</v>
      </c>
      <c r="D56" s="276"/>
      <c r="E56" s="277"/>
      <c r="F56" s="279"/>
      <c r="G56" s="277"/>
      <c r="H56" s="106"/>
      <c r="I56" s="201"/>
      <c r="J56" s="199"/>
      <c r="K56" s="199"/>
    </row>
    <row r="57" spans="1:11" ht="15">
      <c r="A57" s="14" t="s">
        <v>77</v>
      </c>
      <c r="B57" s="8" t="s">
        <v>78</v>
      </c>
      <c r="C57" s="244">
        <v>-77698852.49</v>
      </c>
      <c r="D57" s="276">
        <f>SUM(D54:D55)</f>
        <v>-33086148.6</v>
      </c>
      <c r="E57" s="277"/>
      <c r="F57" s="280"/>
      <c r="G57" s="277"/>
      <c r="H57" s="106"/>
      <c r="I57" s="202">
        <f>SUM(I53:I55)</f>
        <v>12998287.030000001</v>
      </c>
      <c r="J57" s="199"/>
      <c r="K57" s="199"/>
    </row>
    <row r="58" spans="1:11" ht="12.75">
      <c r="A58" s="14"/>
      <c r="B58" s="8"/>
      <c r="C58" s="245">
        <v>0</v>
      </c>
      <c r="D58" s="106"/>
      <c r="E58" s="277"/>
      <c r="F58" s="279">
        <f>SUM(F53-F54)</f>
        <v>15849854.55</v>
      </c>
      <c r="G58" s="277"/>
      <c r="H58" s="106"/>
      <c r="I58" s="199"/>
      <c r="J58" s="199"/>
      <c r="K58" s="199"/>
    </row>
    <row r="59" spans="1:11" ht="12.75">
      <c r="A59" s="723" t="s">
        <v>0</v>
      </c>
      <c r="B59" s="724"/>
      <c r="C59" s="281" t="e">
        <f>SUM(C19:C58)</f>
        <v>#REF!</v>
      </c>
      <c r="D59" s="106"/>
      <c r="E59" s="277"/>
      <c r="F59" s="277"/>
      <c r="G59" s="277"/>
      <c r="H59" s="106"/>
      <c r="I59" s="199"/>
      <c r="J59" s="199"/>
      <c r="K59" s="199"/>
    </row>
    <row r="60" spans="1:8" ht="12.75">
      <c r="A60" s="106"/>
      <c r="B60" s="106"/>
      <c r="C60" s="250"/>
      <c r="D60" s="106"/>
      <c r="E60" s="106"/>
      <c r="F60" s="106"/>
      <c r="G60" s="106"/>
      <c r="H60" s="106"/>
    </row>
    <row r="61" spans="1:8" ht="12.75">
      <c r="A61" s="106"/>
      <c r="B61" s="33" t="s">
        <v>80</v>
      </c>
      <c r="C61" s="282">
        <v>33086148.6</v>
      </c>
      <c r="D61" s="106"/>
      <c r="E61" s="106"/>
      <c r="F61" s="106"/>
      <c r="G61" s="106"/>
      <c r="H61" s="106"/>
    </row>
    <row r="62" spans="1:8" ht="12.75">
      <c r="A62" s="106"/>
      <c r="B62" s="33" t="s">
        <v>79</v>
      </c>
      <c r="C62" s="252">
        <v>77698852.49</v>
      </c>
      <c r="D62" s="276"/>
      <c r="E62" s="106"/>
      <c r="F62" s="106"/>
      <c r="G62" s="106"/>
      <c r="H62" s="106"/>
    </row>
    <row r="63" spans="1:8" ht="12.75">
      <c r="A63" s="106"/>
      <c r="B63" s="106"/>
      <c r="C63" s="250"/>
      <c r="D63" s="106"/>
      <c r="E63" s="106"/>
      <c r="F63" s="106"/>
      <c r="G63" s="106"/>
      <c r="H63" s="106"/>
    </row>
    <row r="64" spans="1:8" ht="13.5" thickBot="1">
      <c r="A64" s="253"/>
      <c r="B64" s="34" t="s">
        <v>48</v>
      </c>
      <c r="C64" s="254" t="e">
        <f>SUM(C59:C63)</f>
        <v>#REF!</v>
      </c>
      <c r="D64" s="106"/>
      <c r="E64" s="106"/>
      <c r="F64" s="106"/>
      <c r="G64" s="106"/>
      <c r="H64" s="106"/>
    </row>
    <row r="65" spans="1:8" ht="13.5" thickTop="1">
      <c r="A65" s="106"/>
      <c r="B65" s="106"/>
      <c r="C65" s="250"/>
      <c r="D65" s="106"/>
      <c r="E65" s="106"/>
      <c r="F65" s="106"/>
      <c r="G65" s="106"/>
      <c r="H65" s="106"/>
    </row>
    <row r="66" spans="1:8" ht="12.75">
      <c r="A66" s="106"/>
      <c r="B66" s="106"/>
      <c r="C66" s="250"/>
      <c r="D66" s="106"/>
      <c r="E66" s="106"/>
      <c r="F66" s="106"/>
      <c r="G66" s="106"/>
      <c r="H66" s="106"/>
    </row>
    <row r="67" spans="1:8" ht="12.75">
      <c r="A67" s="106"/>
      <c r="B67" s="106"/>
      <c r="C67" s="250"/>
      <c r="D67" s="106"/>
      <c r="E67" s="106"/>
      <c r="F67" s="106"/>
      <c r="G67" s="106"/>
      <c r="H67" s="106"/>
    </row>
    <row r="68" spans="1:8" ht="12.75">
      <c r="A68" s="106"/>
      <c r="B68" s="106"/>
      <c r="C68" s="250"/>
      <c r="D68" s="106"/>
      <c r="E68" s="106"/>
      <c r="F68" s="106"/>
      <c r="G68" s="106"/>
      <c r="H68" s="106"/>
    </row>
    <row r="69" spans="1:8" ht="12.75">
      <c r="A69" s="106"/>
      <c r="B69" s="106"/>
      <c r="C69" s="250"/>
      <c r="D69" s="106"/>
      <c r="E69" s="106"/>
      <c r="F69" s="106"/>
      <c r="G69" s="106"/>
      <c r="H69" s="106"/>
    </row>
    <row r="70" spans="1:8" ht="12.75">
      <c r="A70" s="106"/>
      <c r="B70" s="106"/>
      <c r="C70" s="250"/>
      <c r="D70" s="106"/>
      <c r="E70" s="106"/>
      <c r="F70" s="106"/>
      <c r="G70" s="106"/>
      <c r="H70" s="106"/>
    </row>
    <row r="71" spans="1:8" ht="12.75">
      <c r="A71" s="106"/>
      <c r="B71" s="106"/>
      <c r="C71" s="250"/>
      <c r="D71" s="106"/>
      <c r="E71" s="106"/>
      <c r="F71" s="106"/>
      <c r="G71" s="106"/>
      <c r="H71" s="106"/>
    </row>
    <row r="72" spans="1:8" ht="12.75">
      <c r="A72" s="106"/>
      <c r="B72" s="106"/>
      <c r="C72" s="250"/>
      <c r="D72" s="106"/>
      <c r="E72" s="106"/>
      <c r="F72" s="106"/>
      <c r="G72" s="106"/>
      <c r="H72" s="106"/>
    </row>
    <row r="73" spans="1:8" ht="12.75">
      <c r="A73" s="106"/>
      <c r="B73" s="106"/>
      <c r="C73" s="250"/>
      <c r="D73" s="106"/>
      <c r="E73" s="106"/>
      <c r="F73" s="106"/>
      <c r="G73" s="106"/>
      <c r="H73" s="106"/>
    </row>
    <row r="74" spans="1:8" ht="12.75">
      <c r="A74" s="106"/>
      <c r="B74" s="106"/>
      <c r="C74" s="250"/>
      <c r="D74" s="106"/>
      <c r="E74" s="106"/>
      <c r="F74" s="106"/>
      <c r="G74" s="106"/>
      <c r="H74" s="106"/>
    </row>
    <row r="75" spans="1:8" ht="12.75">
      <c r="A75" s="106"/>
      <c r="B75" s="106"/>
      <c r="C75" s="250"/>
      <c r="D75" s="106"/>
      <c r="E75" s="106"/>
      <c r="F75" s="106"/>
      <c r="G75" s="106"/>
      <c r="H75" s="106"/>
    </row>
    <row r="76" spans="1:8" ht="12.75">
      <c r="A76" s="106"/>
      <c r="B76" s="106"/>
      <c r="C76" s="250"/>
      <c r="D76" s="106"/>
      <c r="E76" s="106"/>
      <c r="F76" s="106"/>
      <c r="G76" s="106"/>
      <c r="H76" s="106"/>
    </row>
    <row r="77" spans="1:8" ht="12.75">
      <c r="A77" s="106"/>
      <c r="B77" s="106"/>
      <c r="C77" s="250"/>
      <c r="D77" s="106"/>
      <c r="E77" s="106"/>
      <c r="F77" s="106"/>
      <c r="G77" s="106"/>
      <c r="H77" s="106"/>
    </row>
  </sheetData>
  <sheetProtection/>
  <mergeCells count="8">
    <mergeCell ref="A59:B59"/>
    <mergeCell ref="A17:B17"/>
    <mergeCell ref="E2:H2"/>
    <mergeCell ref="A9:C9"/>
    <mergeCell ref="A10:C10"/>
    <mergeCell ref="A11:C11"/>
    <mergeCell ref="A12:C12"/>
    <mergeCell ref="A13:C13"/>
  </mergeCells>
  <printOptions horizontalCentered="1"/>
  <pageMargins left="0" right="0" top="0.3937007874015748" bottom="0" header="0" footer="0"/>
  <pageSetup horizontalDpi="600" verticalDpi="600" orientation="landscape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M53"/>
  <sheetViews>
    <sheetView zoomScalePageLayoutView="0" workbookViewId="0" topLeftCell="A1">
      <selection activeCell="E6" sqref="E6"/>
    </sheetView>
  </sheetViews>
  <sheetFormatPr defaultColWidth="11.421875" defaultRowHeight="12.75"/>
  <cols>
    <col min="1" max="1" width="15.57421875" style="0" customWidth="1"/>
    <col min="2" max="2" width="46.00390625" style="0" customWidth="1"/>
    <col min="3" max="3" width="21.28125" style="0" customWidth="1"/>
    <col min="4" max="4" width="12.8515625" style="0" bestFit="1" customWidth="1"/>
    <col min="6" max="6" width="6.7109375" style="0" customWidth="1"/>
    <col min="7" max="7" width="24.8515625" style="0" customWidth="1"/>
    <col min="8" max="8" width="18.28125" style="0" customWidth="1"/>
    <col min="9" max="9" width="24.421875" style="0" customWidth="1"/>
    <col min="10" max="10" width="12.28125" style="0" customWidth="1"/>
    <col min="11" max="11" width="13.8515625" style="0" bestFit="1" customWidth="1"/>
    <col min="12" max="13" width="12.8515625" style="0" bestFit="1" customWidth="1"/>
  </cols>
  <sheetData>
    <row r="2" spans="1:3" ht="12.75">
      <c r="A2" s="5"/>
      <c r="B2" s="25"/>
      <c r="C2" s="25"/>
    </row>
    <row r="3" spans="1:3" ht="12.75">
      <c r="A3" s="5"/>
      <c r="B3" s="25"/>
      <c r="C3" s="25"/>
    </row>
    <row r="4" spans="1:8" ht="12.75">
      <c r="A4" s="5"/>
      <c r="B4" s="25"/>
      <c r="C4" s="25"/>
      <c r="G4" s="473" t="s">
        <v>652</v>
      </c>
      <c r="H4" s="473"/>
    </row>
    <row r="5" spans="1:3" ht="12.75">
      <c r="A5" s="5"/>
      <c r="B5" s="25"/>
      <c r="C5" s="25"/>
    </row>
    <row r="6" spans="1:3" ht="12.75">
      <c r="A6" s="5"/>
      <c r="B6" s="25"/>
      <c r="C6" s="25"/>
    </row>
    <row r="7" spans="1:3" ht="15.75">
      <c r="A7" s="714" t="s">
        <v>115</v>
      </c>
      <c r="B7" s="714"/>
      <c r="C7" s="714"/>
    </row>
    <row r="8" spans="1:3" ht="12.75">
      <c r="A8" s="715" t="s">
        <v>104</v>
      </c>
      <c r="B8" s="715"/>
      <c r="C8" s="715"/>
    </row>
    <row r="9" spans="1:9" ht="12.75">
      <c r="A9" s="722" t="s">
        <v>1</v>
      </c>
      <c r="B9" s="722"/>
      <c r="C9" s="722"/>
      <c r="G9" s="731" t="s">
        <v>154</v>
      </c>
      <c r="H9" s="731"/>
      <c r="I9" s="731"/>
    </row>
    <row r="10" spans="1:9" ht="12.75">
      <c r="A10" s="715" t="s">
        <v>1011</v>
      </c>
      <c r="B10" s="715"/>
      <c r="C10" s="715"/>
      <c r="G10" s="732" t="s">
        <v>651</v>
      </c>
      <c r="H10" s="732"/>
      <c r="I10" s="732"/>
    </row>
    <row r="11" spans="1:3" ht="12.75">
      <c r="A11" s="715" t="s">
        <v>2</v>
      </c>
      <c r="B11" s="715"/>
      <c r="C11" s="715"/>
    </row>
    <row r="12" spans="1:9" ht="12.75">
      <c r="A12" s="47"/>
      <c r="B12" s="47"/>
      <c r="C12" s="47"/>
      <c r="G12" s="478" t="s">
        <v>662</v>
      </c>
      <c r="H12" s="478" t="s">
        <v>663</v>
      </c>
      <c r="I12" s="479" t="s">
        <v>621</v>
      </c>
    </row>
    <row r="13" spans="1:9" ht="14.25">
      <c r="A13" s="193">
        <v>1101010002</v>
      </c>
      <c r="B13" s="194" t="s">
        <v>202</v>
      </c>
      <c r="C13" s="195">
        <f>I16</f>
        <v>200000</v>
      </c>
      <c r="G13" s="205" t="s">
        <v>650</v>
      </c>
      <c r="H13" s="205" t="s">
        <v>664</v>
      </c>
      <c r="I13" s="471">
        <v>100000</v>
      </c>
    </row>
    <row r="14" spans="1:9" ht="14.25">
      <c r="A14" s="8" t="s">
        <v>23</v>
      </c>
      <c r="B14" s="79" t="s">
        <v>141</v>
      </c>
      <c r="C14" s="43">
        <v>97971.36</v>
      </c>
      <c r="G14" s="205" t="s">
        <v>1010</v>
      </c>
      <c r="H14" s="205" t="s">
        <v>460</v>
      </c>
      <c r="I14" s="471">
        <v>50000</v>
      </c>
    </row>
    <row r="15" spans="1:9" ht="17.25" thickBot="1">
      <c r="A15" s="8" t="s">
        <v>24</v>
      </c>
      <c r="B15" s="79" t="s">
        <v>585</v>
      </c>
      <c r="C15" s="43">
        <v>400294.79</v>
      </c>
      <c r="G15" s="205" t="s">
        <v>1004</v>
      </c>
      <c r="H15" s="205" t="s">
        <v>665</v>
      </c>
      <c r="I15" s="472">
        <v>50000</v>
      </c>
    </row>
    <row r="16" spans="1:9" ht="15" thickBot="1">
      <c r="A16" s="8" t="s">
        <v>53</v>
      </c>
      <c r="B16" s="79" t="s">
        <v>142</v>
      </c>
      <c r="C16" s="43">
        <v>13193.95</v>
      </c>
      <c r="D16" s="13"/>
      <c r="G16" s="475" t="s">
        <v>120</v>
      </c>
      <c r="H16" s="476"/>
      <c r="I16" s="477">
        <f>SUM(I13:I15)</f>
        <v>200000</v>
      </c>
    </row>
    <row r="17" spans="1:4" ht="14.25">
      <c r="A17" s="8" t="s">
        <v>54</v>
      </c>
      <c r="B17" s="80" t="s">
        <v>140</v>
      </c>
      <c r="C17" s="19">
        <f>K34</f>
        <v>18893004.5</v>
      </c>
      <c r="D17" s="118"/>
    </row>
    <row r="18" spans="1:3" ht="12.75">
      <c r="A18" s="8"/>
      <c r="B18" s="8"/>
      <c r="C18" s="44"/>
    </row>
    <row r="19" spans="1:3" ht="12.75">
      <c r="A19" s="8"/>
      <c r="B19" s="8"/>
      <c r="C19" s="43"/>
    </row>
    <row r="20" spans="1:3" ht="12.75">
      <c r="A20" s="8"/>
      <c r="B20" s="8"/>
      <c r="C20" s="43"/>
    </row>
    <row r="21" spans="1:8" ht="12.75">
      <c r="A21" s="14"/>
      <c r="B21" s="8"/>
      <c r="C21" s="10"/>
      <c r="G21" s="473" t="s">
        <v>652</v>
      </c>
      <c r="H21" s="473"/>
    </row>
    <row r="22" spans="1:3" ht="12.75">
      <c r="A22" s="14"/>
      <c r="B22" s="8"/>
      <c r="C22" s="10"/>
    </row>
    <row r="23" spans="1:3" ht="12.75">
      <c r="A23" s="723" t="s">
        <v>0</v>
      </c>
      <c r="B23" s="724"/>
      <c r="C23" s="11">
        <f>SUM(C13:C22)</f>
        <v>19604464.6</v>
      </c>
    </row>
    <row r="24" ht="12.75">
      <c r="C24" s="2"/>
    </row>
    <row r="25" spans="2:3" ht="12.75">
      <c r="B25" s="33" t="s">
        <v>80</v>
      </c>
      <c r="C25" s="35"/>
    </row>
    <row r="26" spans="2:10" ht="12.75">
      <c r="B26" s="33" t="s">
        <v>79</v>
      </c>
      <c r="C26" s="41"/>
      <c r="G26" s="732" t="s">
        <v>154</v>
      </c>
      <c r="H26" s="732"/>
      <c r="I26" s="732"/>
      <c r="J26" s="732"/>
    </row>
    <row r="27" spans="3:10" ht="12.75">
      <c r="C27" s="2"/>
      <c r="G27" s="732" t="s">
        <v>653</v>
      </c>
      <c r="H27" s="732"/>
      <c r="I27" s="732"/>
      <c r="J27" s="732"/>
    </row>
    <row r="28" spans="1:3" ht="13.5" thickBot="1">
      <c r="A28" s="3"/>
      <c r="B28" s="34" t="s">
        <v>48</v>
      </c>
      <c r="C28" s="42">
        <f>SUM(C23:C27)</f>
        <v>19604464.6</v>
      </c>
    </row>
    <row r="29" spans="3:11" ht="13.5" thickTop="1">
      <c r="C29" s="2"/>
      <c r="G29" s="349" t="s">
        <v>655</v>
      </c>
      <c r="H29" s="349" t="s">
        <v>656</v>
      </c>
      <c r="I29" s="349" t="s">
        <v>986</v>
      </c>
      <c r="J29" s="349" t="s">
        <v>985</v>
      </c>
      <c r="K29" s="349" t="s">
        <v>657</v>
      </c>
    </row>
    <row r="30" spans="3:11" ht="12.75">
      <c r="C30" s="2"/>
      <c r="G30" s="361" t="s">
        <v>654</v>
      </c>
      <c r="H30" s="361" t="s">
        <v>658</v>
      </c>
      <c r="I30" s="557" t="s">
        <v>987</v>
      </c>
      <c r="J30" s="557"/>
      <c r="K30" s="558">
        <v>1409267.78</v>
      </c>
    </row>
    <row r="31" spans="7:11" ht="12.75">
      <c r="G31" s="361" t="s">
        <v>659</v>
      </c>
      <c r="H31" s="361" t="s">
        <v>660</v>
      </c>
      <c r="I31" s="557" t="s">
        <v>987</v>
      </c>
      <c r="J31" s="560">
        <v>19690.38</v>
      </c>
      <c r="K31" s="558">
        <v>1106599.55</v>
      </c>
    </row>
    <row r="32" spans="7:11" ht="15">
      <c r="G32" s="561">
        <v>22623101000215</v>
      </c>
      <c r="H32" s="361" t="s">
        <v>660</v>
      </c>
      <c r="I32" s="562" t="s">
        <v>988</v>
      </c>
      <c r="J32" s="565">
        <v>237100</v>
      </c>
      <c r="K32" s="558">
        <v>16377137.17</v>
      </c>
    </row>
    <row r="33" spans="7:11" ht="12.75">
      <c r="G33" s="12"/>
      <c r="H33" s="12"/>
      <c r="I33" s="12"/>
      <c r="J33" s="559">
        <v>0</v>
      </c>
      <c r="K33" s="12"/>
    </row>
    <row r="34" spans="7:11" ht="12.75">
      <c r="G34" s="563" t="s">
        <v>661</v>
      </c>
      <c r="H34" s="563"/>
      <c r="I34" s="564">
        <f>SUBTOTAL(109,I30:I33)</f>
        <v>0</v>
      </c>
      <c r="J34" s="558">
        <f>SUBTOTAL(109,J30:J33)</f>
        <v>256790.38</v>
      </c>
      <c r="K34" s="521">
        <f>SUM(K30:K33)</f>
        <v>18893004.5</v>
      </c>
    </row>
    <row r="35" spans="7:11" ht="12.75">
      <c r="G35" s="12" t="s">
        <v>991</v>
      </c>
      <c r="H35" s="12"/>
      <c r="I35" s="12"/>
      <c r="J35" s="12"/>
      <c r="K35" s="12"/>
    </row>
    <row r="36" spans="7:13" ht="12.75">
      <c r="G36" s="12"/>
      <c r="H36" s="12"/>
      <c r="I36" s="12"/>
      <c r="J36" s="12"/>
      <c r="K36" s="521"/>
      <c r="L36" s="12"/>
      <c r="M36" s="13"/>
    </row>
    <row r="37" spans="11:13" ht="12.75">
      <c r="K37" s="470"/>
      <c r="M37" s="13"/>
    </row>
    <row r="38" spans="7:13" ht="12.75">
      <c r="G38" s="554"/>
      <c r="H38" s="555"/>
      <c r="I38" s="555"/>
      <c r="J38" s="556"/>
      <c r="K38" s="554"/>
      <c r="L38" s="554"/>
      <c r="M38" s="13"/>
    </row>
    <row r="39" spans="2:13" ht="12.75">
      <c r="B39" s="469" t="s">
        <v>500</v>
      </c>
      <c r="L39" s="13"/>
      <c r="M39" s="13"/>
    </row>
    <row r="40" ht="12.75">
      <c r="B40" s="516">
        <v>3616230.37</v>
      </c>
    </row>
    <row r="41" spans="2:13" ht="13.5" thickBot="1">
      <c r="B41" s="349" t="s">
        <v>939</v>
      </c>
      <c r="C41" s="349" t="s">
        <v>671</v>
      </c>
      <c r="M41">
        <f>1759934.04/56.2</f>
        <v>31315.55231316726</v>
      </c>
    </row>
    <row r="42" ht="13.5" thickBot="1">
      <c r="C42" s="495">
        <f>B40</f>
        <v>3616230.37</v>
      </c>
    </row>
    <row r="44" ht="12.75">
      <c r="F44" s="7"/>
    </row>
    <row r="46" spans="2:3" ht="13.5" thickBot="1">
      <c r="B46" s="730"/>
      <c r="C46" s="730"/>
    </row>
    <row r="47" spans="2:3" ht="13.5" thickBot="1">
      <c r="B47" s="728" t="s">
        <v>704</v>
      </c>
      <c r="C47" s="729"/>
    </row>
    <row r="48" spans="2:3" ht="12.75">
      <c r="B48" s="496" t="s">
        <v>703</v>
      </c>
      <c r="C48" s="506" t="s">
        <v>621</v>
      </c>
    </row>
    <row r="49" spans="2:3" ht="12.75">
      <c r="B49" t="s">
        <v>697</v>
      </c>
      <c r="C49" s="7">
        <v>147000</v>
      </c>
    </row>
    <row r="50" ht="12.75">
      <c r="C50" s="7">
        <v>0</v>
      </c>
    </row>
    <row r="51" spans="2:3" ht="12.75">
      <c r="B51" t="s">
        <v>120</v>
      </c>
      <c r="C51" s="7">
        <f>SUBTOTAL(109,C49:C50)</f>
        <v>147000</v>
      </c>
    </row>
    <row r="53" ht="12.75">
      <c r="C53" s="7"/>
    </row>
  </sheetData>
  <sheetProtection/>
  <mergeCells count="12">
    <mergeCell ref="A7:C7"/>
    <mergeCell ref="A8:C8"/>
    <mergeCell ref="A9:C9"/>
    <mergeCell ref="A10:C10"/>
    <mergeCell ref="A11:C11"/>
    <mergeCell ref="A23:B23"/>
    <mergeCell ref="B47:C47"/>
    <mergeCell ref="B46:C46"/>
    <mergeCell ref="G9:I9"/>
    <mergeCell ref="G10:I10"/>
    <mergeCell ref="G26:J26"/>
    <mergeCell ref="G27:J27"/>
  </mergeCells>
  <printOptions/>
  <pageMargins left="0.28" right="0.24" top="0.984251968503937" bottom="0.984251968503937" header="0.38" footer="0"/>
  <pageSetup horizontalDpi="600" verticalDpi="600" orientation="portrait" r:id="rId6"/>
  <drawing r:id="rId5"/>
  <tableParts>
    <tablePart r:id="rId4"/>
    <tablePart r:id="rId2"/>
    <tablePart r:id="rId1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.75"/>
  <cols>
    <col min="1" max="1" width="15.57421875" style="0" customWidth="1"/>
    <col min="2" max="2" width="49.421875" style="0" customWidth="1"/>
    <col min="3" max="3" width="20.00390625" style="0" customWidth="1"/>
    <col min="4" max="4" width="15.421875" style="2" bestFit="1" customWidth="1"/>
    <col min="5" max="5" width="15.421875" style="2" customWidth="1"/>
    <col min="6" max="6" width="14.8515625" style="0" bestFit="1" customWidth="1"/>
    <col min="7" max="7" width="15.140625" style="0" customWidth="1"/>
    <col min="8" max="8" width="13.8515625" style="0" bestFit="1" customWidth="1"/>
    <col min="9" max="9" width="12.8515625" style="0" customWidth="1"/>
    <col min="10" max="10" width="17.00390625" style="0" customWidth="1"/>
    <col min="11" max="11" width="14.00390625" style="0" customWidth="1"/>
  </cols>
  <sheetData>
    <row r="1" spans="1:7" ht="12.75">
      <c r="A1" s="241"/>
      <c r="B1" s="166"/>
      <c r="C1" s="166"/>
      <c r="D1" s="166"/>
      <c r="E1" s="166"/>
      <c r="F1" s="106"/>
      <c r="G1" s="106"/>
    </row>
    <row r="2" spans="1:7" ht="12.75">
      <c r="A2" s="241"/>
      <c r="B2" s="166"/>
      <c r="C2" s="166"/>
      <c r="D2" s="166"/>
      <c r="E2" s="166"/>
      <c r="F2" s="106"/>
      <c r="G2" s="106"/>
    </row>
    <row r="3" spans="1:7" ht="12.75">
      <c r="A3" s="241"/>
      <c r="B3" s="166"/>
      <c r="C3" s="166"/>
      <c r="D3" s="166"/>
      <c r="E3" s="166"/>
      <c r="F3" s="106"/>
      <c r="G3" s="106"/>
    </row>
    <row r="4" spans="1:7" ht="12.75">
      <c r="A4" s="241"/>
      <c r="B4" s="166"/>
      <c r="C4" s="166"/>
      <c r="D4" s="166"/>
      <c r="E4" s="166"/>
      <c r="F4" s="106"/>
      <c r="G4" s="106"/>
    </row>
    <row r="5" spans="1:7" ht="12.75">
      <c r="A5" s="241"/>
      <c r="B5" s="166"/>
      <c r="C5" s="166"/>
      <c r="D5" s="166"/>
      <c r="E5" s="166"/>
      <c r="F5" s="106"/>
      <c r="G5" s="106"/>
    </row>
    <row r="6" ht="12.75">
      <c r="G6" s="106"/>
    </row>
    <row r="7" spans="1:7" ht="15.75">
      <c r="A7" s="714" t="s">
        <v>115</v>
      </c>
      <c r="B7" s="714"/>
      <c r="C7" s="714"/>
      <c r="D7" s="714"/>
      <c r="E7" s="714"/>
      <c r="F7" s="714"/>
      <c r="G7" s="106"/>
    </row>
    <row r="8" spans="1:7" ht="12.75">
      <c r="A8" s="715" t="s">
        <v>143</v>
      </c>
      <c r="B8" s="715"/>
      <c r="C8" s="715"/>
      <c r="D8" s="715"/>
      <c r="E8" s="715"/>
      <c r="F8" s="715"/>
      <c r="G8" s="106"/>
    </row>
    <row r="9" spans="1:7" ht="12.75">
      <c r="A9" s="722" t="s">
        <v>1</v>
      </c>
      <c r="B9" s="722"/>
      <c r="C9" s="722"/>
      <c r="D9" s="722"/>
      <c r="E9" s="722"/>
      <c r="F9" s="722"/>
      <c r="G9" s="106"/>
    </row>
    <row r="10" spans="1:7" ht="12.75">
      <c r="A10" s="715" t="s">
        <v>990</v>
      </c>
      <c r="B10" s="715"/>
      <c r="C10" s="715"/>
      <c r="D10" s="715"/>
      <c r="E10" s="715"/>
      <c r="F10" s="715"/>
      <c r="G10" s="106"/>
    </row>
    <row r="11" spans="1:7" ht="12.75">
      <c r="A11" s="715" t="s">
        <v>2</v>
      </c>
      <c r="B11" s="715"/>
      <c r="C11" s="715"/>
      <c r="D11" s="715"/>
      <c r="E11" s="715"/>
      <c r="F11" s="715"/>
      <c r="G11" s="106"/>
    </row>
    <row r="12" spans="1:11" ht="60">
      <c r="A12" s="590" t="s">
        <v>40</v>
      </c>
      <c r="B12" s="590" t="s">
        <v>41</v>
      </c>
      <c r="C12" s="591" t="s">
        <v>953</v>
      </c>
      <c r="D12" s="592" t="s">
        <v>954</v>
      </c>
      <c r="E12" s="592" t="s">
        <v>186</v>
      </c>
      <c r="F12" s="593" t="s">
        <v>144</v>
      </c>
      <c r="G12" s="594"/>
      <c r="H12" s="595" t="s">
        <v>994</v>
      </c>
      <c r="I12" s="596" t="s">
        <v>995</v>
      </c>
      <c r="J12" s="597" t="s">
        <v>996</v>
      </c>
      <c r="K12" s="350" t="s">
        <v>998</v>
      </c>
    </row>
    <row r="13" spans="1:11" s="12" customFormat="1" ht="12.75">
      <c r="A13" s="8"/>
      <c r="B13" s="8"/>
      <c r="C13" s="8"/>
      <c r="D13" s="44"/>
      <c r="E13" s="44"/>
      <c r="F13" s="582"/>
      <c r="G13" s="242"/>
      <c r="H13" s="386" t="s">
        <v>993</v>
      </c>
      <c r="I13" s="16"/>
      <c r="J13" s="16"/>
      <c r="K13" s="16"/>
    </row>
    <row r="14" spans="1:11" s="12" customFormat="1" ht="12.75">
      <c r="A14" s="8" t="s">
        <v>38</v>
      </c>
      <c r="B14" s="8" t="s">
        <v>39</v>
      </c>
      <c r="C14" s="87">
        <v>13222192.02</v>
      </c>
      <c r="D14" s="244">
        <v>662098</v>
      </c>
      <c r="E14" s="244">
        <f>SUM(C14:D14)</f>
        <v>13884290.02</v>
      </c>
      <c r="F14" s="583">
        <f>E14</f>
        <v>13884290.02</v>
      </c>
      <c r="G14" s="586">
        <f>C14*0.15*2</f>
        <v>3966657.6059999997</v>
      </c>
      <c r="H14" s="587">
        <f>C14-G14</f>
        <v>9255534.414</v>
      </c>
      <c r="I14" s="587">
        <f>H14*0.15</f>
        <v>1388330.1621</v>
      </c>
      <c r="J14" s="587">
        <f>I14/12*10</f>
        <v>1156941.80175</v>
      </c>
      <c r="K14" s="587">
        <f>D14/2*0.15/12*10</f>
        <v>41381.125</v>
      </c>
    </row>
    <row r="15" spans="1:11" s="12" customFormat="1" ht="12.75">
      <c r="A15" s="8" t="s">
        <v>25</v>
      </c>
      <c r="B15" s="8" t="s">
        <v>84</v>
      </c>
      <c r="C15" s="87">
        <v>4978157.18</v>
      </c>
      <c r="D15" s="244">
        <v>0</v>
      </c>
      <c r="E15" s="244">
        <f aca="true" t="shared" si="0" ref="E15:E39">SUM(C15:D15)</f>
        <v>4978157.18</v>
      </c>
      <c r="F15" s="583">
        <f aca="true" t="shared" si="1" ref="F15:F40">E15</f>
        <v>4978157.18</v>
      </c>
      <c r="G15" s="586">
        <f>C15*0.15*2</f>
        <v>1493447.1539999999</v>
      </c>
      <c r="H15" s="587">
        <f aca="true" t="shared" si="2" ref="H15:H25">C15-G15</f>
        <v>3484710.0259999996</v>
      </c>
      <c r="I15" s="587">
        <f>H15*0.15</f>
        <v>522706.5038999999</v>
      </c>
      <c r="J15" s="587">
        <f aca="true" t="shared" si="3" ref="J15:J23">I15/12*10</f>
        <v>435588.75324999995</v>
      </c>
      <c r="K15" s="16"/>
    </row>
    <row r="16" spans="1:11" s="12" customFormat="1" ht="12.75">
      <c r="A16" s="8" t="s">
        <v>55</v>
      </c>
      <c r="B16" s="8" t="s">
        <v>56</v>
      </c>
      <c r="C16" s="87">
        <v>46851714.17</v>
      </c>
      <c r="D16" s="44">
        <v>0</v>
      </c>
      <c r="E16" s="244">
        <f t="shared" si="0"/>
        <v>46851714.17</v>
      </c>
      <c r="F16" s="583">
        <f t="shared" si="1"/>
        <v>46851714.17</v>
      </c>
      <c r="G16" s="586">
        <f>C16*0.25*2</f>
        <v>23425857.085</v>
      </c>
      <c r="H16" s="587">
        <f t="shared" si="2"/>
        <v>23425857.085</v>
      </c>
      <c r="I16" s="587">
        <f>H16*0.25</f>
        <v>5856464.27125</v>
      </c>
      <c r="J16" s="587">
        <f t="shared" si="3"/>
        <v>4880386.892708333</v>
      </c>
      <c r="K16" s="16"/>
    </row>
    <row r="17" spans="1:11" s="12" customFormat="1" ht="12.75">
      <c r="A17" s="8" t="s">
        <v>26</v>
      </c>
      <c r="B17" s="8" t="s">
        <v>27</v>
      </c>
      <c r="C17" s="87">
        <v>30997418.72</v>
      </c>
      <c r="D17" s="244">
        <v>1609402</v>
      </c>
      <c r="E17" s="244">
        <f t="shared" si="0"/>
        <v>32606820.72</v>
      </c>
      <c r="F17" s="583">
        <f t="shared" si="1"/>
        <v>32606820.72</v>
      </c>
      <c r="G17" s="586">
        <f>C17*0.25*2</f>
        <v>15498709.36</v>
      </c>
      <c r="H17" s="587">
        <f t="shared" si="2"/>
        <v>15498709.36</v>
      </c>
      <c r="I17" s="587">
        <f>H17*0.25</f>
        <v>3874677.34</v>
      </c>
      <c r="J17" s="587">
        <f t="shared" si="3"/>
        <v>3228897.783333333</v>
      </c>
      <c r="K17" s="587">
        <f>D17/2*0.25/12*10</f>
        <v>167646.0416666667</v>
      </c>
    </row>
    <row r="18" spans="1:11" s="12" customFormat="1" ht="12.75">
      <c r="A18" s="8" t="s">
        <v>57</v>
      </c>
      <c r="B18" s="8" t="s">
        <v>58</v>
      </c>
      <c r="C18" s="87">
        <v>26678</v>
      </c>
      <c r="D18" s="44">
        <v>0</v>
      </c>
      <c r="E18" s="244">
        <f t="shared" si="0"/>
        <v>26678</v>
      </c>
      <c r="F18" s="583">
        <f t="shared" si="1"/>
        <v>26678</v>
      </c>
      <c r="G18" s="586">
        <f>C18*0.15*2</f>
        <v>8003.4</v>
      </c>
      <c r="H18" s="587">
        <f t="shared" si="2"/>
        <v>18674.6</v>
      </c>
      <c r="I18" s="587">
        <f aca="true" t="shared" si="4" ref="I18:I23">H18*0.15</f>
        <v>2801.1899999999996</v>
      </c>
      <c r="J18" s="587">
        <f t="shared" si="3"/>
        <v>2334.325</v>
      </c>
      <c r="K18" s="16"/>
    </row>
    <row r="19" spans="1:11" s="12" customFormat="1" ht="12.75">
      <c r="A19" s="8" t="s">
        <v>28</v>
      </c>
      <c r="B19" s="8" t="s">
        <v>29</v>
      </c>
      <c r="C19" s="87">
        <v>4757914.25</v>
      </c>
      <c r="D19" s="44">
        <v>0</v>
      </c>
      <c r="E19" s="244">
        <f t="shared" si="0"/>
        <v>4757914.25</v>
      </c>
      <c r="F19" s="583">
        <f t="shared" si="1"/>
        <v>4757914.25</v>
      </c>
      <c r="G19" s="586">
        <f>C19*0.15*2</f>
        <v>1427374.275</v>
      </c>
      <c r="H19" s="587">
        <f t="shared" si="2"/>
        <v>3330539.975</v>
      </c>
      <c r="I19" s="587">
        <f t="shared" si="4"/>
        <v>499580.99624999997</v>
      </c>
      <c r="J19" s="587">
        <f t="shared" si="3"/>
        <v>416317.496875</v>
      </c>
      <c r="K19" s="16"/>
    </row>
    <row r="20" spans="1:11" s="12" customFormat="1" ht="12.75">
      <c r="A20" s="8" t="s">
        <v>30</v>
      </c>
      <c r="B20" s="8" t="s">
        <v>31</v>
      </c>
      <c r="C20" s="87">
        <v>30612369.97</v>
      </c>
      <c r="D20" s="244">
        <v>715184.96</v>
      </c>
      <c r="E20" s="244">
        <f t="shared" si="0"/>
        <v>31327554.93</v>
      </c>
      <c r="F20" s="583">
        <f t="shared" si="1"/>
        <v>31327554.93</v>
      </c>
      <c r="G20" s="586">
        <f>C20*0.25*2</f>
        <v>15306184.985</v>
      </c>
      <c r="H20" s="587">
        <f t="shared" si="2"/>
        <v>15306184.985</v>
      </c>
      <c r="I20" s="587">
        <f>H20*0.25</f>
        <v>3826546.24625</v>
      </c>
      <c r="J20" s="587">
        <f t="shared" si="3"/>
        <v>3188788.538541666</v>
      </c>
      <c r="K20" s="587">
        <f>D20/2*0.25/12*10</f>
        <v>74498.43333333333</v>
      </c>
    </row>
    <row r="21" spans="1:11" s="12" customFormat="1" ht="12.75">
      <c r="A21" s="8" t="s">
        <v>59</v>
      </c>
      <c r="B21" s="8" t="s">
        <v>60</v>
      </c>
      <c r="C21" s="87">
        <v>33448.68</v>
      </c>
      <c r="D21" s="44">
        <v>0</v>
      </c>
      <c r="E21" s="244">
        <f t="shared" si="0"/>
        <v>33448.68</v>
      </c>
      <c r="F21" s="583">
        <f t="shared" si="1"/>
        <v>33448.68</v>
      </c>
      <c r="G21" s="586">
        <f>C21*0.15*2</f>
        <v>10034.604</v>
      </c>
      <c r="H21" s="587">
        <f t="shared" si="2"/>
        <v>23414.076</v>
      </c>
      <c r="I21" s="587">
        <f t="shared" si="4"/>
        <v>3512.1114000000002</v>
      </c>
      <c r="J21" s="587">
        <f t="shared" si="3"/>
        <v>2926.7595</v>
      </c>
      <c r="K21" s="16"/>
    </row>
    <row r="22" spans="1:11" s="12" customFormat="1" ht="12.75">
      <c r="A22" s="8" t="s">
        <v>34</v>
      </c>
      <c r="B22" s="8" t="s">
        <v>35</v>
      </c>
      <c r="C22" s="87">
        <v>4530129.84</v>
      </c>
      <c r="D22" s="44">
        <v>0</v>
      </c>
      <c r="E22" s="244">
        <f t="shared" si="0"/>
        <v>4530129.84</v>
      </c>
      <c r="F22" s="583">
        <f t="shared" si="1"/>
        <v>4530129.84</v>
      </c>
      <c r="G22" s="586">
        <f>C22*0.15*2</f>
        <v>1359038.9519999998</v>
      </c>
      <c r="H22" s="587">
        <f t="shared" si="2"/>
        <v>3171090.8880000003</v>
      </c>
      <c r="I22" s="587">
        <f t="shared" si="4"/>
        <v>475663.63320000004</v>
      </c>
      <c r="J22" s="587">
        <f t="shared" si="3"/>
        <v>396386.36100000003</v>
      </c>
      <c r="K22" s="16"/>
    </row>
    <row r="23" spans="1:11" ht="12.75">
      <c r="A23" s="8" t="s">
        <v>65</v>
      </c>
      <c r="B23" s="8" t="s">
        <v>66</v>
      </c>
      <c r="C23" s="87">
        <v>1700</v>
      </c>
      <c r="D23" s="44">
        <v>0</v>
      </c>
      <c r="E23" s="244">
        <f t="shared" si="0"/>
        <v>1700</v>
      </c>
      <c r="F23" s="583">
        <f t="shared" si="1"/>
        <v>1700</v>
      </c>
      <c r="G23" s="586">
        <f>C23*0.15*2</f>
        <v>510</v>
      </c>
      <c r="H23" s="587">
        <f t="shared" si="2"/>
        <v>1190</v>
      </c>
      <c r="I23" s="587">
        <f t="shared" si="4"/>
        <v>178.5</v>
      </c>
      <c r="J23" s="587">
        <f t="shared" si="3"/>
        <v>148.75</v>
      </c>
      <c r="K23" s="55"/>
    </row>
    <row r="24" spans="1:11" ht="12.75">
      <c r="A24" s="8" t="s">
        <v>36</v>
      </c>
      <c r="B24" s="8" t="s">
        <v>37</v>
      </c>
      <c r="C24" s="87">
        <v>-62439622.45</v>
      </c>
      <c r="D24" s="44">
        <v>0</v>
      </c>
      <c r="E24" s="244">
        <f t="shared" si="0"/>
        <v>-62439622.45</v>
      </c>
      <c r="F24" s="584">
        <f t="shared" si="1"/>
        <v>-62439622.45</v>
      </c>
      <c r="G24" s="588"/>
      <c r="H24" s="587">
        <v>0</v>
      </c>
      <c r="I24" s="55"/>
      <c r="J24" s="55"/>
      <c r="K24" s="55"/>
    </row>
    <row r="25" spans="1:11" ht="12.75">
      <c r="A25" s="8" t="s">
        <v>32</v>
      </c>
      <c r="B25" s="8" t="s">
        <v>33</v>
      </c>
      <c r="C25" s="87">
        <v>8266805.43</v>
      </c>
      <c r="D25" s="44">
        <v>0</v>
      </c>
      <c r="E25" s="244">
        <f t="shared" si="0"/>
        <v>8266805.43</v>
      </c>
      <c r="F25" s="583">
        <f t="shared" si="1"/>
        <v>8266805.43</v>
      </c>
      <c r="G25" s="586">
        <v>0</v>
      </c>
      <c r="H25" s="587">
        <f t="shared" si="2"/>
        <v>8266805.43</v>
      </c>
      <c r="I25" s="55"/>
      <c r="J25" s="397">
        <f>SUM(J14:J24)</f>
        <v>13708717.461958332</v>
      </c>
      <c r="K25" s="397">
        <f>SUM(K14:K22)</f>
        <v>283525.60000000003</v>
      </c>
    </row>
    <row r="26" spans="1:11" ht="25.5">
      <c r="A26" s="14"/>
      <c r="B26" s="8"/>
      <c r="C26" s="87">
        <v>0</v>
      </c>
      <c r="D26" s="240">
        <v>0</v>
      </c>
      <c r="E26" s="244">
        <f t="shared" si="0"/>
        <v>0</v>
      </c>
      <c r="F26" s="583">
        <f t="shared" si="1"/>
        <v>0</v>
      </c>
      <c r="G26" s="585"/>
      <c r="H26" s="55"/>
      <c r="I26" s="55"/>
      <c r="J26" s="212" t="s">
        <v>997</v>
      </c>
      <c r="K26" s="397">
        <f>J25+K25</f>
        <v>13992243.061958332</v>
      </c>
    </row>
    <row r="27" spans="1:11" ht="12.75">
      <c r="A27" s="14"/>
      <c r="B27" s="8"/>
      <c r="C27" s="87"/>
      <c r="D27" s="240"/>
      <c r="E27" s="244">
        <f t="shared" si="0"/>
        <v>0</v>
      </c>
      <c r="F27" s="583">
        <f t="shared" si="1"/>
        <v>0</v>
      </c>
      <c r="G27" s="589">
        <f>SUM(G14:G25)</f>
        <v>62495817.421</v>
      </c>
      <c r="H27" s="344"/>
      <c r="I27" s="55"/>
      <c r="J27" s="55"/>
      <c r="K27" s="55"/>
    </row>
    <row r="28" spans="1:11" ht="12.75">
      <c r="A28" s="14"/>
      <c r="B28" s="8"/>
      <c r="C28" s="87"/>
      <c r="D28" s="240"/>
      <c r="E28" s="244">
        <f t="shared" si="0"/>
        <v>0</v>
      </c>
      <c r="F28" s="583">
        <f t="shared" si="1"/>
        <v>0</v>
      </c>
      <c r="G28" s="589">
        <f>G27*2</f>
        <v>124991634.842</v>
      </c>
      <c r="H28" s="55"/>
      <c r="I28" s="55">
        <f>519281.36+195903.6</f>
        <v>715184.96</v>
      </c>
      <c r="J28" s="55"/>
      <c r="K28" s="55"/>
    </row>
    <row r="29" spans="1:11" ht="12.75">
      <c r="A29" s="14"/>
      <c r="B29" s="8"/>
      <c r="C29" s="87"/>
      <c r="D29" s="240"/>
      <c r="E29" s="244">
        <f t="shared" si="0"/>
        <v>0</v>
      </c>
      <c r="F29" s="583">
        <f t="shared" si="1"/>
        <v>0</v>
      </c>
      <c r="G29" s="585"/>
      <c r="H29" s="55"/>
      <c r="I29" s="55"/>
      <c r="J29" s="55"/>
      <c r="K29" s="55"/>
    </row>
    <row r="30" spans="1:11" ht="12.75">
      <c r="A30" s="14"/>
      <c r="B30" s="8"/>
      <c r="C30" s="87"/>
      <c r="D30" s="240"/>
      <c r="E30" s="244">
        <f t="shared" si="0"/>
        <v>0</v>
      </c>
      <c r="F30" s="583">
        <f t="shared" si="1"/>
        <v>0</v>
      </c>
      <c r="G30" s="585"/>
      <c r="H30" s="55"/>
      <c r="I30" s="55"/>
      <c r="J30" s="55"/>
      <c r="K30" s="55"/>
    </row>
    <row r="31" spans="1:11" ht="12.75">
      <c r="A31" s="14"/>
      <c r="B31" s="8"/>
      <c r="C31" s="87"/>
      <c r="D31" s="246"/>
      <c r="E31" s="244">
        <f t="shared" si="0"/>
        <v>0</v>
      </c>
      <c r="F31" s="583">
        <f t="shared" si="1"/>
        <v>0</v>
      </c>
      <c r="G31" s="585"/>
      <c r="H31" s="55"/>
      <c r="I31" s="55"/>
      <c r="J31" s="55"/>
      <c r="K31" s="55"/>
    </row>
    <row r="32" spans="1:11" ht="12.75">
      <c r="A32" s="14"/>
      <c r="B32" s="8"/>
      <c r="C32" s="87"/>
      <c r="D32" s="246"/>
      <c r="E32" s="244">
        <f t="shared" si="0"/>
        <v>0</v>
      </c>
      <c r="F32" s="583">
        <f t="shared" si="1"/>
        <v>0</v>
      </c>
      <c r="G32" s="585"/>
      <c r="H32" s="55"/>
      <c r="I32" s="55"/>
      <c r="J32" s="55"/>
      <c r="K32" s="55"/>
    </row>
    <row r="33" spans="1:11" ht="12.75">
      <c r="A33" s="14"/>
      <c r="B33" s="8"/>
      <c r="C33" s="87"/>
      <c r="D33" s="246"/>
      <c r="E33" s="244">
        <f t="shared" si="0"/>
        <v>0</v>
      </c>
      <c r="F33" s="583">
        <f t="shared" si="1"/>
        <v>0</v>
      </c>
      <c r="G33" s="585"/>
      <c r="H33" s="55"/>
      <c r="I33" s="55"/>
      <c r="J33" s="55"/>
      <c r="K33" s="55"/>
    </row>
    <row r="34" spans="1:11" ht="12.75">
      <c r="A34" s="14"/>
      <c r="B34" s="8"/>
      <c r="C34" s="87"/>
      <c r="D34" s="246"/>
      <c r="E34" s="244">
        <f t="shared" si="0"/>
        <v>0</v>
      </c>
      <c r="F34" s="583">
        <f t="shared" si="1"/>
        <v>0</v>
      </c>
      <c r="G34" s="585"/>
      <c r="H34" s="55"/>
      <c r="I34" s="55"/>
      <c r="J34" s="55"/>
      <c r="K34" s="55"/>
    </row>
    <row r="35" spans="1:11" ht="12.75">
      <c r="A35" s="14"/>
      <c r="B35" s="8"/>
      <c r="C35" s="87"/>
      <c r="D35" s="246"/>
      <c r="E35" s="244">
        <f t="shared" si="0"/>
        <v>0</v>
      </c>
      <c r="F35" s="583">
        <f t="shared" si="1"/>
        <v>0</v>
      </c>
      <c r="G35" s="585"/>
      <c r="H35" s="55"/>
      <c r="I35" s="55"/>
      <c r="J35" s="55"/>
      <c r="K35" s="55"/>
    </row>
    <row r="36" spans="1:11" ht="12.75">
      <c r="A36" s="14"/>
      <c r="B36" s="8"/>
      <c r="C36" s="87"/>
      <c r="D36" s="246"/>
      <c r="E36" s="244">
        <f t="shared" si="0"/>
        <v>0</v>
      </c>
      <c r="F36" s="583">
        <f t="shared" si="1"/>
        <v>0</v>
      </c>
      <c r="G36" s="585"/>
      <c r="H36" s="55"/>
      <c r="I36" s="55"/>
      <c r="J36" s="55"/>
      <c r="K36" s="55"/>
    </row>
    <row r="37" spans="1:11" ht="12.75">
      <c r="A37" s="14"/>
      <c r="B37" s="8"/>
      <c r="C37" s="87"/>
      <c r="D37" s="247"/>
      <c r="E37" s="248">
        <f t="shared" si="0"/>
        <v>0</v>
      </c>
      <c r="F37" s="583">
        <f t="shared" si="1"/>
        <v>0</v>
      </c>
      <c r="G37" s="585"/>
      <c r="H37" s="55"/>
      <c r="I37" s="55"/>
      <c r="J37" s="55"/>
      <c r="K37" s="55"/>
    </row>
    <row r="38" spans="1:11" ht="12.75">
      <c r="A38" s="14"/>
      <c r="B38" s="8"/>
      <c r="C38" s="87"/>
      <c r="D38" s="247"/>
      <c r="E38" s="248">
        <f t="shared" si="0"/>
        <v>0</v>
      </c>
      <c r="F38" s="583">
        <f t="shared" si="1"/>
        <v>0</v>
      </c>
      <c r="G38" s="585"/>
      <c r="H38" s="55"/>
      <c r="I38" s="55"/>
      <c r="J38" s="55"/>
      <c r="K38" s="55"/>
    </row>
    <row r="39" spans="1:11" ht="12.75">
      <c r="A39" s="14"/>
      <c r="B39" s="8"/>
      <c r="C39" s="87"/>
      <c r="D39" s="247"/>
      <c r="E39" s="248">
        <f t="shared" si="0"/>
        <v>0</v>
      </c>
      <c r="F39" s="583">
        <f t="shared" si="1"/>
        <v>0</v>
      </c>
      <c r="G39" s="585"/>
      <c r="H39" s="55"/>
      <c r="I39" s="55"/>
      <c r="J39" s="55"/>
      <c r="K39" s="55"/>
    </row>
    <row r="40" spans="1:11" ht="12.75">
      <c r="A40" s="723" t="s">
        <v>0</v>
      </c>
      <c r="B40" s="724"/>
      <c r="C40" s="88">
        <f>SUM(C13:C39)</f>
        <v>81838905.81</v>
      </c>
      <c r="D40" s="249">
        <f>SUM(D14:D39)</f>
        <v>2986684.96</v>
      </c>
      <c r="E40" s="248">
        <f>SUM(E13:E39)</f>
        <v>84825590.77000001</v>
      </c>
      <c r="F40" s="583">
        <f t="shared" si="1"/>
        <v>84825590.77000001</v>
      </c>
      <c r="G40" s="585"/>
      <c r="H40" s="55"/>
      <c r="I40" s="55"/>
      <c r="J40" s="55"/>
      <c r="K40" s="55"/>
    </row>
    <row r="41" spans="1:7" ht="12.75">
      <c r="A41" s="106"/>
      <c r="B41" s="106"/>
      <c r="C41" s="106"/>
      <c r="D41" s="250"/>
      <c r="E41" s="250"/>
      <c r="F41" s="106"/>
      <c r="G41" s="106"/>
    </row>
    <row r="42" spans="1:7" ht="12.75">
      <c r="A42" s="106"/>
      <c r="B42" s="33" t="s">
        <v>80</v>
      </c>
      <c r="C42" s="33"/>
      <c r="D42" s="251"/>
      <c r="E42" s="251"/>
      <c r="F42" s="106"/>
      <c r="G42" s="106"/>
    </row>
    <row r="43" spans="1:7" ht="12.75">
      <c r="A43" s="106"/>
      <c r="B43" s="33" t="s">
        <v>79</v>
      </c>
      <c r="C43" s="33"/>
      <c r="D43" s="252"/>
      <c r="E43" s="251"/>
      <c r="F43" s="106"/>
      <c r="G43" s="106"/>
    </row>
    <row r="44" spans="1:7" ht="12.75">
      <c r="A44" s="106"/>
      <c r="B44" s="106"/>
      <c r="C44" s="106"/>
      <c r="D44" s="250"/>
      <c r="E44" s="250"/>
      <c r="F44" s="106"/>
      <c r="G44" s="106"/>
    </row>
    <row r="45" spans="1:7" ht="13.5" thickBot="1">
      <c r="A45" s="253"/>
      <c r="B45" s="34" t="s">
        <v>48</v>
      </c>
      <c r="C45" s="34"/>
      <c r="D45" s="254">
        <f>F40</f>
        <v>84825590.77000001</v>
      </c>
      <c r="E45" s="255"/>
      <c r="F45" s="106"/>
      <c r="G45" s="106"/>
    </row>
    <row r="46" spans="1:7" ht="13.5" thickTop="1">
      <c r="A46" s="106"/>
      <c r="B46" s="106"/>
      <c r="C46" s="106"/>
      <c r="D46" s="250"/>
      <c r="E46" s="250"/>
      <c r="F46" s="106"/>
      <c r="G46" s="106"/>
    </row>
    <row r="47" spans="1:7" ht="12.75">
      <c r="A47" s="106" t="s">
        <v>955</v>
      </c>
      <c r="B47" s="106"/>
      <c r="C47" s="106" t="s">
        <v>956</v>
      </c>
      <c r="D47" s="250"/>
      <c r="E47" s="250"/>
      <c r="F47" s="106"/>
      <c r="G47" s="106"/>
    </row>
    <row r="48" spans="1:7" ht="12.75">
      <c r="A48" s="106" t="s">
        <v>517</v>
      </c>
      <c r="B48" s="106"/>
      <c r="C48" s="106" t="s">
        <v>957</v>
      </c>
      <c r="D48" s="250"/>
      <c r="E48" s="250"/>
      <c r="F48" s="106"/>
      <c r="G48" s="106"/>
    </row>
    <row r="49" spans="1:7" ht="12.75">
      <c r="A49" s="106" t="s">
        <v>220</v>
      </c>
      <c r="B49" s="106"/>
      <c r="C49" s="106" t="s">
        <v>958</v>
      </c>
      <c r="D49" s="250"/>
      <c r="E49" s="250"/>
      <c r="F49" s="106"/>
      <c r="G49" s="106"/>
    </row>
    <row r="50" spans="1:7" ht="12.75">
      <c r="A50" s="106"/>
      <c r="B50" s="106"/>
      <c r="C50" s="106"/>
      <c r="D50" s="250"/>
      <c r="E50" s="250"/>
      <c r="F50" s="106"/>
      <c r="G50" s="106"/>
    </row>
    <row r="51" spans="1:7" ht="12.75">
      <c r="A51" s="106"/>
      <c r="B51" s="106"/>
      <c r="C51" s="106"/>
      <c r="D51" s="250"/>
      <c r="E51" s="250"/>
      <c r="F51" s="106"/>
      <c r="G51" s="106"/>
    </row>
    <row r="52" spans="1:7" ht="12.75">
      <c r="A52" s="106"/>
      <c r="B52" s="106"/>
      <c r="C52" s="106"/>
      <c r="D52" s="250"/>
      <c r="E52" s="250"/>
      <c r="F52" s="106"/>
      <c r="G52" s="106"/>
    </row>
    <row r="53" spans="1:7" ht="12.75">
      <c r="A53" s="106"/>
      <c r="B53" s="106"/>
      <c r="C53" s="106"/>
      <c r="D53" s="250"/>
      <c r="E53" s="250"/>
      <c r="F53" s="106"/>
      <c r="G53" s="106"/>
    </row>
    <row r="54" spans="1:7" ht="12.75">
      <c r="A54" s="106"/>
      <c r="B54" s="106"/>
      <c r="C54" s="106"/>
      <c r="D54" s="250"/>
      <c r="E54" s="250"/>
      <c r="F54" s="106"/>
      <c r="G54" s="106"/>
    </row>
    <row r="55" spans="1:7" ht="12.75">
      <c r="A55" s="106"/>
      <c r="B55" s="106"/>
      <c r="C55" s="106"/>
      <c r="D55" s="250"/>
      <c r="E55" s="250"/>
      <c r="F55" s="106"/>
      <c r="G55" s="106"/>
    </row>
    <row r="56" spans="1:7" ht="12.75">
      <c r="A56" s="106"/>
      <c r="B56" s="106"/>
      <c r="C56" s="106"/>
      <c r="D56" s="250"/>
      <c r="E56" s="250"/>
      <c r="F56" s="106"/>
      <c r="G56" s="106"/>
    </row>
    <row r="57" spans="1:7" ht="12.75">
      <c r="A57" s="106"/>
      <c r="B57" s="106"/>
      <c r="C57" s="106"/>
      <c r="D57" s="250"/>
      <c r="E57" s="250"/>
      <c r="F57" s="106"/>
      <c r="G57" s="106"/>
    </row>
    <row r="58" spans="1:7" ht="12.75">
      <c r="A58" s="106"/>
      <c r="B58" s="106"/>
      <c r="C58" s="106"/>
      <c r="D58" s="250"/>
      <c r="E58" s="250"/>
      <c r="F58" s="106"/>
      <c r="G58" s="106"/>
    </row>
    <row r="59" spans="1:7" ht="12.75">
      <c r="A59" s="106"/>
      <c r="B59" s="106"/>
      <c r="C59" s="106"/>
      <c r="D59" s="250"/>
      <c r="E59" s="250"/>
      <c r="F59" s="106"/>
      <c r="G59" s="106"/>
    </row>
    <row r="60" spans="1:7" ht="12.75">
      <c r="A60" s="106"/>
      <c r="B60" s="106"/>
      <c r="C60" s="106"/>
      <c r="D60" s="250"/>
      <c r="E60" s="250"/>
      <c r="F60" s="106"/>
      <c r="G60" s="106"/>
    </row>
    <row r="61" spans="1:7" ht="12.75">
      <c r="A61" s="106"/>
      <c r="B61" s="106"/>
      <c r="C61" s="106"/>
      <c r="D61" s="250"/>
      <c r="E61" s="250"/>
      <c r="F61" s="106"/>
      <c r="G61" s="106"/>
    </row>
    <row r="62" spans="1:7" ht="12.75">
      <c r="A62" s="106"/>
      <c r="B62" s="106"/>
      <c r="C62" s="106"/>
      <c r="D62" s="250"/>
      <c r="E62" s="250"/>
      <c r="F62" s="106"/>
      <c r="G62" s="106"/>
    </row>
  </sheetData>
  <sheetProtection/>
  <mergeCells count="6">
    <mergeCell ref="A11:F11"/>
    <mergeCell ref="A40:B40"/>
    <mergeCell ref="A7:F7"/>
    <mergeCell ref="A8:F8"/>
    <mergeCell ref="A9:F9"/>
    <mergeCell ref="A10:F10"/>
  </mergeCells>
  <printOptions horizontalCentered="1"/>
  <pageMargins left="0" right="0" top="0.91" bottom="0" header="0" footer="0"/>
  <pageSetup horizontalDpi="600" verticalDpi="600" orientation="portrait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7:I46"/>
  <sheetViews>
    <sheetView zoomScalePageLayoutView="0" workbookViewId="0" topLeftCell="A1">
      <selection activeCell="F6" sqref="F6"/>
    </sheetView>
  </sheetViews>
  <sheetFormatPr defaultColWidth="11.421875" defaultRowHeight="12.75"/>
  <cols>
    <col min="2" max="2" width="48.140625" style="0" customWidth="1"/>
    <col min="3" max="3" width="15.28125" style="0" customWidth="1"/>
    <col min="5" max="5" width="14.421875" style="0" customWidth="1"/>
    <col min="6" max="6" width="14.57421875" style="0" customWidth="1"/>
    <col min="8" max="8" width="15.57421875" style="0" customWidth="1"/>
    <col min="9" max="9" width="17.28125" style="0" customWidth="1"/>
  </cols>
  <sheetData>
    <row r="7" spans="1:9" ht="12.75">
      <c r="A7" s="241"/>
      <c r="B7" s="166"/>
      <c r="C7" s="166"/>
      <c r="D7" s="166"/>
      <c r="E7" s="166"/>
      <c r="F7" s="166"/>
      <c r="G7" s="166"/>
      <c r="H7" s="166"/>
      <c r="I7" s="106"/>
    </row>
    <row r="8" spans="1:9" ht="15.75">
      <c r="A8" s="714" t="s">
        <v>115</v>
      </c>
      <c r="B8" s="714"/>
      <c r="C8" s="714"/>
      <c r="D8" s="714"/>
      <c r="E8" s="714"/>
      <c r="F8" s="714"/>
      <c r="G8" s="714"/>
      <c r="H8" s="714"/>
      <c r="I8" s="714"/>
    </row>
    <row r="9" spans="1:9" ht="12.75">
      <c r="A9" s="717" t="s">
        <v>188</v>
      </c>
      <c r="B9" s="717"/>
      <c r="C9" s="717"/>
      <c r="D9" s="717"/>
      <c r="E9" s="717"/>
      <c r="F9" s="717"/>
      <c r="G9" s="717"/>
      <c r="H9" s="717"/>
      <c r="I9" s="717"/>
    </row>
    <row r="10" spans="1:9" ht="12.75">
      <c r="A10" s="715" t="s">
        <v>143</v>
      </c>
      <c r="B10" s="715"/>
      <c r="C10" s="715"/>
      <c r="D10" s="715"/>
      <c r="E10" s="715"/>
      <c r="F10" s="715"/>
      <c r="G10" s="715"/>
      <c r="H10" s="715"/>
      <c r="I10" s="715"/>
    </row>
    <row r="11" spans="1:9" ht="12.75">
      <c r="A11" s="722" t="s">
        <v>1</v>
      </c>
      <c r="B11" s="722"/>
      <c r="C11" s="722"/>
      <c r="D11" s="722"/>
      <c r="E11" s="722"/>
      <c r="F11" s="722"/>
      <c r="G11" s="722"/>
      <c r="H11" s="722"/>
      <c r="I11" s="722"/>
    </row>
    <row r="12" spans="1:9" ht="12.75">
      <c r="A12" s="715" t="s">
        <v>577</v>
      </c>
      <c r="B12" s="715"/>
      <c r="C12" s="715"/>
      <c r="D12" s="715"/>
      <c r="E12" s="715"/>
      <c r="F12" s="715"/>
      <c r="G12" s="715"/>
      <c r="H12" s="715"/>
      <c r="I12" s="715"/>
    </row>
    <row r="13" spans="1:9" ht="12.75">
      <c r="A13" s="715" t="s">
        <v>2</v>
      </c>
      <c r="B13" s="715"/>
      <c r="C13" s="715"/>
      <c r="D13" s="715"/>
      <c r="E13" s="715"/>
      <c r="F13" s="715"/>
      <c r="G13" s="715"/>
      <c r="H13" s="715"/>
      <c r="I13" s="715"/>
    </row>
    <row r="14" spans="1:9" ht="120">
      <c r="A14" s="172" t="s">
        <v>40</v>
      </c>
      <c r="B14" s="172" t="s">
        <v>41</v>
      </c>
      <c r="C14" s="169" t="s">
        <v>575</v>
      </c>
      <c r="D14" s="170" t="s">
        <v>576</v>
      </c>
      <c r="E14" s="170" t="s">
        <v>186</v>
      </c>
      <c r="F14" s="170" t="s">
        <v>185</v>
      </c>
      <c r="G14" s="170" t="s">
        <v>236</v>
      </c>
      <c r="H14" s="170" t="s">
        <v>187</v>
      </c>
      <c r="I14" s="171" t="s">
        <v>144</v>
      </c>
    </row>
    <row r="15" spans="1:9" ht="12.75">
      <c r="A15" s="8"/>
      <c r="B15" s="8"/>
      <c r="C15" s="8"/>
      <c r="D15" s="44"/>
      <c r="E15" s="44"/>
      <c r="F15" s="44"/>
      <c r="G15" s="168"/>
      <c r="H15" s="168">
        <f>F15+G15</f>
        <v>0</v>
      </c>
      <c r="I15" s="242"/>
    </row>
    <row r="16" spans="1:9" ht="12.75">
      <c r="A16" s="8" t="s">
        <v>38</v>
      </c>
      <c r="B16" s="8" t="s">
        <v>39</v>
      </c>
      <c r="C16" s="87">
        <v>12617152.92</v>
      </c>
      <c r="D16" s="244">
        <v>0</v>
      </c>
      <c r="E16" s="244">
        <f>SUM(C16:D16)</f>
        <v>12617152.92</v>
      </c>
      <c r="F16" s="244">
        <v>0</v>
      </c>
      <c r="G16" s="244"/>
      <c r="H16" s="168">
        <f aca="true" t="shared" si="0" ref="H16:H46">F16+G16</f>
        <v>0</v>
      </c>
      <c r="I16" s="245">
        <f>E16+H16</f>
        <v>12617152.92</v>
      </c>
    </row>
    <row r="17" spans="1:9" ht="12.75">
      <c r="A17" s="8" t="s">
        <v>25</v>
      </c>
      <c r="B17" s="8" t="s">
        <v>84</v>
      </c>
      <c r="C17" s="87">
        <v>3087571.8</v>
      </c>
      <c r="D17" s="244">
        <v>0</v>
      </c>
      <c r="E17" s="244">
        <f aca="true" t="shared" si="1" ref="E17:E45">SUM(C17:D17)</f>
        <v>3087571.8</v>
      </c>
      <c r="F17" s="244">
        <v>300591.89</v>
      </c>
      <c r="G17" s="244"/>
      <c r="H17" s="168">
        <f t="shared" si="0"/>
        <v>300591.89</v>
      </c>
      <c r="I17" s="245">
        <f aca="true" t="shared" si="2" ref="I17:I46">E17+H17</f>
        <v>3388163.69</v>
      </c>
    </row>
    <row r="18" spans="1:9" ht="12.75">
      <c r="A18" s="8" t="s">
        <v>55</v>
      </c>
      <c r="B18" s="8" t="s">
        <v>56</v>
      </c>
      <c r="C18" s="87">
        <v>27155606.64</v>
      </c>
      <c r="D18" s="44">
        <v>0</v>
      </c>
      <c r="E18" s="244">
        <f t="shared" si="1"/>
        <v>27155606.64</v>
      </c>
      <c r="F18" s="44">
        <v>6863668.65</v>
      </c>
      <c r="G18" s="44">
        <v>0</v>
      </c>
      <c r="H18" s="168">
        <f t="shared" si="0"/>
        <v>6863668.65</v>
      </c>
      <c r="I18" s="245">
        <f t="shared" si="2"/>
        <v>34019275.29</v>
      </c>
    </row>
    <row r="19" spans="1:9" ht="12.75">
      <c r="A19" s="8" t="s">
        <v>26</v>
      </c>
      <c r="B19" s="8" t="s">
        <v>27</v>
      </c>
      <c r="C19" s="87">
        <v>18917528.37</v>
      </c>
      <c r="D19" s="244">
        <v>0</v>
      </c>
      <c r="E19" s="244">
        <f t="shared" si="1"/>
        <v>18917528.37</v>
      </c>
      <c r="F19" s="244">
        <v>1038307.59</v>
      </c>
      <c r="G19" s="244">
        <v>0</v>
      </c>
      <c r="H19" s="168">
        <f t="shared" si="0"/>
        <v>1038307.59</v>
      </c>
      <c r="I19" s="245">
        <f t="shared" si="2"/>
        <v>19955835.96</v>
      </c>
    </row>
    <row r="20" spans="1:9" ht="12.75">
      <c r="A20" s="8" t="s">
        <v>57</v>
      </c>
      <c r="B20" s="8" t="s">
        <v>58</v>
      </c>
      <c r="C20" s="87">
        <v>26678</v>
      </c>
      <c r="D20" s="44">
        <v>0</v>
      </c>
      <c r="E20" s="244">
        <f t="shared" si="1"/>
        <v>26678</v>
      </c>
      <c r="F20" s="44"/>
      <c r="G20" s="44">
        <v>0</v>
      </c>
      <c r="H20" s="168">
        <f t="shared" si="0"/>
        <v>0</v>
      </c>
      <c r="I20" s="245">
        <f t="shared" si="2"/>
        <v>26678</v>
      </c>
    </row>
    <row r="21" spans="1:9" ht="12.75">
      <c r="A21" s="8" t="s">
        <v>28</v>
      </c>
      <c r="B21" s="8" t="s">
        <v>29</v>
      </c>
      <c r="C21" s="87">
        <v>2962072.25</v>
      </c>
      <c r="D21" s="44">
        <v>0</v>
      </c>
      <c r="E21" s="244">
        <f t="shared" si="1"/>
        <v>2962072.25</v>
      </c>
      <c r="F21" s="44">
        <v>6288.3</v>
      </c>
      <c r="G21" s="44">
        <v>0</v>
      </c>
      <c r="H21" s="168">
        <f t="shared" si="0"/>
        <v>6288.3</v>
      </c>
      <c r="I21" s="245">
        <f t="shared" si="2"/>
        <v>2968360.55</v>
      </c>
    </row>
    <row r="22" spans="1:9" ht="12.75">
      <c r="A22" s="8" t="s">
        <v>30</v>
      </c>
      <c r="B22" s="8" t="s">
        <v>31</v>
      </c>
      <c r="C22" s="87">
        <v>26317046.65</v>
      </c>
      <c r="D22" s="244">
        <v>0</v>
      </c>
      <c r="E22" s="244">
        <f t="shared" si="1"/>
        <v>26317046.65</v>
      </c>
      <c r="F22" s="244">
        <v>1803961.32</v>
      </c>
      <c r="G22" s="244">
        <v>0</v>
      </c>
      <c r="H22" s="168">
        <f t="shared" si="0"/>
        <v>1803961.32</v>
      </c>
      <c r="I22" s="245">
        <f t="shared" si="2"/>
        <v>28121007.97</v>
      </c>
    </row>
    <row r="23" spans="1:9" ht="12.75">
      <c r="A23" s="8" t="s">
        <v>59</v>
      </c>
      <c r="B23" s="8" t="s">
        <v>60</v>
      </c>
      <c r="C23" s="87">
        <v>33448.68</v>
      </c>
      <c r="D23" s="44">
        <v>0</v>
      </c>
      <c r="E23" s="244">
        <f t="shared" si="1"/>
        <v>33448.68</v>
      </c>
      <c r="F23" s="44">
        <v>288737.79</v>
      </c>
      <c r="G23" s="44">
        <v>0</v>
      </c>
      <c r="H23" s="168">
        <f t="shared" si="0"/>
        <v>288737.79</v>
      </c>
      <c r="I23" s="245">
        <f t="shared" si="2"/>
        <v>322186.47</v>
      </c>
    </row>
    <row r="24" spans="1:9" ht="12.75">
      <c r="A24" s="8" t="s">
        <v>34</v>
      </c>
      <c r="B24" s="8" t="s">
        <v>35</v>
      </c>
      <c r="C24" s="87">
        <v>4530129.84</v>
      </c>
      <c r="D24" s="44">
        <v>0</v>
      </c>
      <c r="E24" s="244">
        <f t="shared" si="1"/>
        <v>4530129.84</v>
      </c>
      <c r="F24" s="44">
        <v>1845137.63</v>
      </c>
      <c r="G24" s="44">
        <v>0</v>
      </c>
      <c r="H24" s="168">
        <f t="shared" si="0"/>
        <v>1845137.63</v>
      </c>
      <c r="I24" s="245">
        <f t="shared" si="2"/>
        <v>6375267.47</v>
      </c>
    </row>
    <row r="25" spans="1:9" ht="12.75">
      <c r="A25" s="8" t="s">
        <v>145</v>
      </c>
      <c r="B25" s="8" t="s">
        <v>146</v>
      </c>
      <c r="C25" s="87">
        <v>3443236.2</v>
      </c>
      <c r="D25" s="44"/>
      <c r="E25" s="244">
        <f t="shared" si="1"/>
        <v>3443236.2</v>
      </c>
      <c r="F25" s="44">
        <v>9484141.52</v>
      </c>
      <c r="G25" s="44"/>
      <c r="H25" s="168">
        <f t="shared" si="0"/>
        <v>9484141.52</v>
      </c>
      <c r="I25" s="245">
        <f t="shared" si="2"/>
        <v>12927377.719999999</v>
      </c>
    </row>
    <row r="26" spans="1:9" ht="12.75">
      <c r="A26" s="8" t="s">
        <v>61</v>
      </c>
      <c r="B26" s="8" t="s">
        <v>62</v>
      </c>
      <c r="C26" s="87">
        <v>0</v>
      </c>
      <c r="D26" s="44">
        <v>0</v>
      </c>
      <c r="E26" s="244">
        <f t="shared" si="1"/>
        <v>0</v>
      </c>
      <c r="F26" s="44"/>
      <c r="G26" s="44"/>
      <c r="H26" s="168">
        <f t="shared" si="0"/>
        <v>0</v>
      </c>
      <c r="I26" s="245">
        <f t="shared" si="2"/>
        <v>0</v>
      </c>
    </row>
    <row r="27" spans="1:9" ht="12.75">
      <c r="A27" s="8" t="s">
        <v>63</v>
      </c>
      <c r="B27" s="8" t="s">
        <v>64</v>
      </c>
      <c r="C27" s="87">
        <v>146178403.13</v>
      </c>
      <c r="D27" s="240">
        <v>0</v>
      </c>
      <c r="E27" s="244">
        <f t="shared" si="1"/>
        <v>146178403.13</v>
      </c>
      <c r="F27" s="240"/>
      <c r="G27" s="240"/>
      <c r="H27" s="168">
        <f t="shared" si="0"/>
        <v>0</v>
      </c>
      <c r="I27" s="245">
        <f t="shared" si="2"/>
        <v>146178403.13</v>
      </c>
    </row>
    <row r="28" spans="1:9" ht="12.75">
      <c r="A28" s="8" t="s">
        <v>65</v>
      </c>
      <c r="B28" s="8" t="s">
        <v>66</v>
      </c>
      <c r="C28" s="87">
        <v>1700</v>
      </c>
      <c r="D28" s="44">
        <v>0</v>
      </c>
      <c r="E28" s="244">
        <f t="shared" si="1"/>
        <v>1700</v>
      </c>
      <c r="F28" s="44"/>
      <c r="G28" s="44"/>
      <c r="H28" s="168">
        <f t="shared" si="0"/>
        <v>0</v>
      </c>
      <c r="I28" s="245">
        <f t="shared" si="2"/>
        <v>1700</v>
      </c>
    </row>
    <row r="29" spans="1:9" ht="12.75">
      <c r="A29" s="8" t="s">
        <v>36</v>
      </c>
      <c r="B29" s="8" t="s">
        <v>37</v>
      </c>
      <c r="C29" s="87">
        <v>0</v>
      </c>
      <c r="D29" s="44">
        <v>0</v>
      </c>
      <c r="E29" s="244">
        <f t="shared" si="1"/>
        <v>0</v>
      </c>
      <c r="F29" s="44">
        <v>0</v>
      </c>
      <c r="G29" s="44">
        <v>0</v>
      </c>
      <c r="H29" s="168">
        <f t="shared" si="0"/>
        <v>0</v>
      </c>
      <c r="I29" s="244">
        <f t="shared" si="2"/>
        <v>0</v>
      </c>
    </row>
    <row r="30" spans="1:9" ht="12.75">
      <c r="A30" s="8" t="s">
        <v>32</v>
      </c>
      <c r="B30" s="8" t="s">
        <v>33</v>
      </c>
      <c r="C30" s="87">
        <v>8266805.43</v>
      </c>
      <c r="D30" s="44">
        <v>0</v>
      </c>
      <c r="E30" s="244">
        <f t="shared" si="1"/>
        <v>8266805.43</v>
      </c>
      <c r="F30" s="44"/>
      <c r="G30" s="44"/>
      <c r="H30" s="168">
        <f t="shared" si="0"/>
        <v>0</v>
      </c>
      <c r="I30" s="245">
        <f t="shared" si="2"/>
        <v>8266805.43</v>
      </c>
    </row>
    <row r="31" spans="1:9" ht="12.75">
      <c r="A31" s="8"/>
      <c r="B31" s="8" t="s">
        <v>183</v>
      </c>
      <c r="C31" s="87"/>
      <c r="D31" s="240"/>
      <c r="E31" s="244">
        <f t="shared" si="1"/>
        <v>0</v>
      </c>
      <c r="F31" s="240">
        <v>980234.32</v>
      </c>
      <c r="G31" s="240">
        <v>0</v>
      </c>
      <c r="H31" s="168">
        <f t="shared" si="0"/>
        <v>980234.32</v>
      </c>
      <c r="I31" s="245">
        <f t="shared" si="2"/>
        <v>980234.32</v>
      </c>
    </row>
    <row r="32" spans="1:9" ht="12.75">
      <c r="A32" s="14"/>
      <c r="B32" s="8" t="s">
        <v>184</v>
      </c>
      <c r="C32" s="87">
        <v>435373.27</v>
      </c>
      <c r="D32" s="240">
        <v>0</v>
      </c>
      <c r="E32" s="244">
        <f t="shared" si="1"/>
        <v>435373.27</v>
      </c>
      <c r="F32" s="240">
        <v>303200.36</v>
      </c>
      <c r="G32" s="240">
        <v>0</v>
      </c>
      <c r="H32" s="168">
        <f t="shared" si="0"/>
        <v>303200.36</v>
      </c>
      <c r="I32" s="245">
        <f t="shared" si="2"/>
        <v>738573.63</v>
      </c>
    </row>
    <row r="33" spans="1:9" ht="12.75">
      <c r="A33" s="14"/>
      <c r="B33" s="8"/>
      <c r="C33" s="87"/>
      <c r="D33" s="240"/>
      <c r="E33" s="244">
        <f t="shared" si="1"/>
        <v>0</v>
      </c>
      <c r="F33" s="240"/>
      <c r="G33" s="240"/>
      <c r="H33" s="168">
        <f t="shared" si="0"/>
        <v>0</v>
      </c>
      <c r="I33" s="245">
        <f t="shared" si="2"/>
        <v>0</v>
      </c>
    </row>
    <row r="34" spans="1:9" ht="12.75">
      <c r="A34" s="14"/>
      <c r="B34" s="8"/>
      <c r="C34" s="87"/>
      <c r="D34" s="240"/>
      <c r="E34" s="244">
        <f t="shared" si="1"/>
        <v>0</v>
      </c>
      <c r="F34" s="240"/>
      <c r="G34" s="240"/>
      <c r="H34" s="168">
        <f t="shared" si="0"/>
        <v>0</v>
      </c>
      <c r="I34" s="245">
        <f t="shared" si="2"/>
        <v>0</v>
      </c>
    </row>
    <row r="35" spans="1:9" ht="12.75">
      <c r="A35" s="14"/>
      <c r="B35" s="8"/>
      <c r="C35" s="87"/>
      <c r="D35" s="240"/>
      <c r="E35" s="244">
        <f t="shared" si="1"/>
        <v>0</v>
      </c>
      <c r="F35" s="240"/>
      <c r="G35" s="240"/>
      <c r="H35" s="168">
        <f t="shared" si="0"/>
        <v>0</v>
      </c>
      <c r="I35" s="245">
        <f t="shared" si="2"/>
        <v>0</v>
      </c>
    </row>
    <row r="36" spans="1:9" ht="12.75">
      <c r="A36" s="14"/>
      <c r="B36" s="8"/>
      <c r="C36" s="87"/>
      <c r="D36" s="240"/>
      <c r="E36" s="244">
        <f t="shared" si="1"/>
        <v>0</v>
      </c>
      <c r="F36" s="240"/>
      <c r="G36" s="240"/>
      <c r="H36" s="168">
        <f t="shared" si="0"/>
        <v>0</v>
      </c>
      <c r="I36" s="245">
        <f t="shared" si="2"/>
        <v>0</v>
      </c>
    </row>
    <row r="37" spans="1:9" ht="12.75">
      <c r="A37" s="14"/>
      <c r="B37" s="8"/>
      <c r="C37" s="87"/>
      <c r="D37" s="246"/>
      <c r="E37" s="244">
        <f t="shared" si="1"/>
        <v>0</v>
      </c>
      <c r="F37" s="246"/>
      <c r="G37" s="246"/>
      <c r="H37" s="168">
        <f t="shared" si="0"/>
        <v>0</v>
      </c>
      <c r="I37" s="245">
        <f t="shared" si="2"/>
        <v>0</v>
      </c>
    </row>
    <row r="38" spans="1:9" ht="12.75">
      <c r="A38" s="14"/>
      <c r="B38" s="8"/>
      <c r="C38" s="87"/>
      <c r="D38" s="246"/>
      <c r="E38" s="244">
        <f t="shared" si="1"/>
        <v>0</v>
      </c>
      <c r="F38" s="246"/>
      <c r="G38" s="246"/>
      <c r="H38" s="168">
        <f t="shared" si="0"/>
        <v>0</v>
      </c>
      <c r="I38" s="245">
        <f t="shared" si="2"/>
        <v>0</v>
      </c>
    </row>
    <row r="39" spans="1:9" ht="12.75">
      <c r="A39" s="14"/>
      <c r="B39" s="8"/>
      <c r="C39" s="87"/>
      <c r="D39" s="246"/>
      <c r="E39" s="244">
        <f t="shared" si="1"/>
        <v>0</v>
      </c>
      <c r="F39" s="246"/>
      <c r="G39" s="246"/>
      <c r="H39" s="168">
        <f t="shared" si="0"/>
        <v>0</v>
      </c>
      <c r="I39" s="245">
        <f t="shared" si="2"/>
        <v>0</v>
      </c>
    </row>
    <row r="40" spans="1:9" ht="12.75">
      <c r="A40" s="14"/>
      <c r="B40" s="8"/>
      <c r="C40" s="87"/>
      <c r="D40" s="246"/>
      <c r="E40" s="244">
        <f t="shared" si="1"/>
        <v>0</v>
      </c>
      <c r="F40" s="246"/>
      <c r="G40" s="246"/>
      <c r="H40" s="168">
        <f t="shared" si="0"/>
        <v>0</v>
      </c>
      <c r="I40" s="245">
        <f t="shared" si="2"/>
        <v>0</v>
      </c>
    </row>
    <row r="41" spans="1:9" ht="12.75">
      <c r="A41" s="14"/>
      <c r="B41" s="8"/>
      <c r="C41" s="87"/>
      <c r="D41" s="246"/>
      <c r="E41" s="244">
        <f t="shared" si="1"/>
        <v>0</v>
      </c>
      <c r="F41" s="246"/>
      <c r="G41" s="246"/>
      <c r="H41" s="168">
        <f t="shared" si="0"/>
        <v>0</v>
      </c>
      <c r="I41" s="245">
        <f t="shared" si="2"/>
        <v>0</v>
      </c>
    </row>
    <row r="42" spans="1:9" ht="12.75">
      <c r="A42" s="14"/>
      <c r="B42" s="8"/>
      <c r="C42" s="87"/>
      <c r="D42" s="246"/>
      <c r="E42" s="244">
        <f t="shared" si="1"/>
        <v>0</v>
      </c>
      <c r="F42" s="246"/>
      <c r="G42" s="246"/>
      <c r="H42" s="168">
        <f t="shared" si="0"/>
        <v>0</v>
      </c>
      <c r="I42" s="245">
        <f t="shared" si="2"/>
        <v>0</v>
      </c>
    </row>
    <row r="43" spans="1:9" ht="12.75">
      <c r="A43" s="14"/>
      <c r="B43" s="8"/>
      <c r="C43" s="87"/>
      <c r="D43" s="247"/>
      <c r="E43" s="248">
        <f t="shared" si="1"/>
        <v>0</v>
      </c>
      <c r="F43" s="247"/>
      <c r="G43" s="247"/>
      <c r="H43" s="167">
        <f t="shared" si="0"/>
        <v>0</v>
      </c>
      <c r="I43" s="245">
        <f t="shared" si="2"/>
        <v>0</v>
      </c>
    </row>
    <row r="44" spans="1:9" ht="12.75">
      <c r="A44" s="14"/>
      <c r="B44" s="8"/>
      <c r="C44" s="87"/>
      <c r="D44" s="247"/>
      <c r="E44" s="248">
        <f t="shared" si="1"/>
        <v>0</v>
      </c>
      <c r="F44" s="247"/>
      <c r="G44" s="247"/>
      <c r="H44" s="167">
        <f t="shared" si="0"/>
        <v>0</v>
      </c>
      <c r="I44" s="245">
        <f t="shared" si="2"/>
        <v>0</v>
      </c>
    </row>
    <row r="45" spans="1:9" ht="12.75">
      <c r="A45" s="14"/>
      <c r="B45" s="8"/>
      <c r="C45" s="87"/>
      <c r="D45" s="247"/>
      <c r="E45" s="248">
        <f t="shared" si="1"/>
        <v>0</v>
      </c>
      <c r="F45" s="247"/>
      <c r="G45" s="247"/>
      <c r="H45" s="167">
        <f t="shared" si="0"/>
        <v>0</v>
      </c>
      <c r="I45" s="245">
        <f t="shared" si="2"/>
        <v>0</v>
      </c>
    </row>
    <row r="46" spans="1:9" ht="12.75">
      <c r="A46" s="723" t="s">
        <v>0</v>
      </c>
      <c r="B46" s="724"/>
      <c r="C46" s="88">
        <f>SUM(C15:C45)</f>
        <v>253972753.18000004</v>
      </c>
      <c r="D46" s="249">
        <f>SUM(D16:D45)</f>
        <v>0</v>
      </c>
      <c r="E46" s="248">
        <f>SUM(E15:E45)</f>
        <v>253972753.18000004</v>
      </c>
      <c r="F46" s="249">
        <f>SUM(F16:F45)</f>
        <v>22914269.369999997</v>
      </c>
      <c r="G46" s="249">
        <f>SUM(G15:G45)</f>
        <v>0</v>
      </c>
      <c r="H46" s="167">
        <f t="shared" si="0"/>
        <v>22914269.369999997</v>
      </c>
      <c r="I46" s="245">
        <f t="shared" si="2"/>
        <v>276887022.55</v>
      </c>
    </row>
  </sheetData>
  <sheetProtection/>
  <mergeCells count="7">
    <mergeCell ref="A46:B46"/>
    <mergeCell ref="A8:I8"/>
    <mergeCell ref="A9:I9"/>
    <mergeCell ref="A10:I10"/>
    <mergeCell ref="A11:I11"/>
    <mergeCell ref="A12:I12"/>
    <mergeCell ref="A13:I1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Ivelisse Vargas</dc:creator>
  <cp:keywords/>
  <dc:description/>
  <cp:lastModifiedBy>Francisco Frias</cp:lastModifiedBy>
  <cp:lastPrinted>2021-10-21T16:02:29Z</cp:lastPrinted>
  <dcterms:created xsi:type="dcterms:W3CDTF">2008-09-25T17:43:12Z</dcterms:created>
  <dcterms:modified xsi:type="dcterms:W3CDTF">2021-10-22T21:06:51Z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0x010100550C58961295EC479880CE849C4524C8</vt:lpwstr>
  </property>
</Properties>
</file>